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xr:revisionPtr revIDLastSave="0" documentId="8_{E1212265-B8D0-4911-A467-0A6824B206D9}" xr6:coauthVersionLast="47" xr6:coauthVersionMax="47" xr10:uidLastSave="{00000000-0000-0000-0000-000000000000}"/>
  <bookViews>
    <workbookView xWindow="-28920" yWindow="-120" windowWidth="29040" windowHeight="15720"/>
  </bookViews>
  <sheets>
    <sheet name="noise (elevated DANL) (cold)" sheetId="2" r:id="rId1"/>
    <sheet name="delta Y" sheetId="3" r:id="rId2"/>
    <sheet name="delta Y (elevated temp)" sheetId="4" r:id="rId3"/>
    <sheet name="ave log power" sheetId="5" r:id="rId4"/>
  </sheets>
  <externalReferences>
    <externalReference r:id="rId5"/>
  </externalReferences>
  <definedNames>
    <definedName name="A">'[1]ave log power'!$A$3</definedName>
    <definedName name="B">'[1]ave log power'!$B$3</definedName>
    <definedName name="BandWidth" localSheetId="0">'noise (elevated DANL) (cold)'!#REF!</definedName>
    <definedName name="BandWidth">#REF!</definedName>
    <definedName name="Boltz" localSheetId="2">'delta Y (elevated temp)'!$F$4</definedName>
    <definedName name="Boltz">'[1]delta Y'!$F$4</definedName>
    <definedName name="BW" localSheetId="2">'delta Y (elevated temp)'!$K$5</definedName>
    <definedName name="BW">'[1]delta Y'!$K$5</definedName>
    <definedName name="ENR_corrected_for_temp">'[1]delta Y (elevated temp)'!$F$12</definedName>
    <definedName name="GL" localSheetId="2">'delta Y (elevated temp)'!$G$6</definedName>
    <definedName name="GL">'[1]delta Y'!$G$6</definedName>
    <definedName name="K_elev">'[1]delta Y (elevated temp)'!$I$10</definedName>
    <definedName name="Kelv" localSheetId="2">'delta Y (elevated temp)'!$I$4</definedName>
    <definedName name="Kelv">'[1]delta Y'!$I$4</definedName>
    <definedName name="T_12" localSheetId="2">'delta Y (elevated temp)'!$A$12</definedName>
    <definedName name="T_12">'[1]delta Y'!$A$12</definedName>
    <definedName name="T_instrument" localSheetId="2">'delta Y (elevated temp)'!$A$5</definedName>
    <definedName name="T_instrument">'[1]delta Y'!$A$5</definedName>
    <definedName name="thermal_noise" localSheetId="0">'noise (elevated DANL) (cold)'!$E$5</definedName>
    <definedName name="thermal_noise">#REF!</definedName>
    <definedName name="Ton_source" localSheetId="2">'delta Y (elevated temp)'!$F$10</definedName>
    <definedName name="Ton_source">'delta Y'!$F$10</definedName>
    <definedName name="Ts_on_corrected" localSheetId="2">'delta Y (elevated temp)'!$F$14</definedName>
    <definedName name="Ts_on_corrected">'[1]delta Y'!$F$14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4" i="2"/>
  <c r="C9" i="2"/>
  <c r="B11" i="2"/>
  <c r="C11" i="2"/>
  <c r="A11" i="2" s="1"/>
  <c r="B20" i="2"/>
  <c r="I4" i="3"/>
  <c r="J4" i="3"/>
  <c r="J6" i="3" s="1"/>
  <c r="K5" i="3"/>
  <c r="B6" i="3"/>
  <c r="E6" i="3"/>
  <c r="F10" i="3" s="1"/>
  <c r="G6" i="3"/>
  <c r="B7" i="3"/>
  <c r="I10" i="3"/>
  <c r="F12" i="3"/>
  <c r="F13" i="3" s="1"/>
  <c r="B13" i="3"/>
  <c r="B14" i="3"/>
  <c r="G19" i="3"/>
  <c r="G20" i="3"/>
  <c r="H19" i="3" s="1"/>
  <c r="B22" i="3"/>
  <c r="G22" i="3"/>
  <c r="B23" i="3"/>
  <c r="G23" i="3"/>
  <c r="H22" i="3" s="1"/>
  <c r="B24" i="3"/>
  <c r="D24" i="3" s="1"/>
  <c r="C24" i="3"/>
  <c r="B26" i="3"/>
  <c r="B27" i="3" s="1"/>
  <c r="B28" i="3" s="1"/>
  <c r="D28" i="3" s="1"/>
  <c r="C28" i="3"/>
  <c r="I4" i="4"/>
  <c r="J4" i="4" s="1"/>
  <c r="J6" i="4" s="1"/>
  <c r="K5" i="4"/>
  <c r="E6" i="4"/>
  <c r="G6" i="4"/>
  <c r="F10" i="4"/>
  <c r="I10" i="4"/>
  <c r="F12" i="4"/>
  <c r="F13" i="4"/>
  <c r="G19" i="4"/>
  <c r="H19" i="4"/>
  <c r="I19" i="4" s="1"/>
  <c r="G20" i="4"/>
  <c r="G22" i="4"/>
  <c r="G23" i="4"/>
  <c r="H22" i="4" s="1"/>
  <c r="I22" i="4" s="1"/>
  <c r="C24" i="4"/>
  <c r="C28" i="4"/>
  <c r="A3" i="5"/>
  <c r="B3" i="5"/>
  <c r="C3" i="5"/>
  <c r="A6" i="5"/>
  <c r="D6" i="5" s="1"/>
  <c r="D9" i="5" s="1"/>
  <c r="A7" i="5"/>
  <c r="B7" i="5"/>
  <c r="A8" i="5"/>
  <c r="B8" i="5" s="1"/>
  <c r="A9" i="5"/>
  <c r="B9" i="5"/>
  <c r="A10" i="5"/>
  <c r="B10" i="5" s="1"/>
  <c r="A11" i="5"/>
  <c r="B11" i="5"/>
  <c r="A12" i="5"/>
  <c r="B12" i="5"/>
  <c r="A13" i="5"/>
  <c r="B13" i="5" s="1"/>
  <c r="A14" i="5"/>
  <c r="B14" i="5"/>
  <c r="A15" i="5"/>
  <c r="B15" i="5" s="1"/>
  <c r="A16" i="5"/>
  <c r="B16" i="5" s="1"/>
  <c r="A17" i="5"/>
  <c r="B17" i="5"/>
  <c r="A18" i="5"/>
  <c r="B18" i="5"/>
  <c r="A19" i="5"/>
  <c r="B19" i="5" s="1"/>
  <c r="A20" i="5"/>
  <c r="B20" i="5"/>
  <c r="A21" i="5"/>
  <c r="B21" i="5" s="1"/>
  <c r="A22" i="5"/>
  <c r="B22" i="5" s="1"/>
  <c r="A23" i="5"/>
  <c r="B23" i="5"/>
  <c r="A24" i="5"/>
  <c r="B24" i="5"/>
  <c r="A25" i="5"/>
  <c r="B25" i="5" s="1"/>
  <c r="A26" i="5"/>
  <c r="B26" i="5"/>
  <c r="A27" i="5"/>
  <c r="B27" i="5" s="1"/>
  <c r="A28" i="5"/>
  <c r="B28" i="5" s="1"/>
  <c r="A29" i="5"/>
  <c r="B29" i="5"/>
  <c r="A30" i="5"/>
  <c r="B30" i="5"/>
  <c r="A31" i="5"/>
  <c r="B31" i="5" s="1"/>
  <c r="A32" i="5"/>
  <c r="B32" i="5"/>
  <c r="A33" i="5"/>
  <c r="B33" i="5" s="1"/>
  <c r="A34" i="5"/>
  <c r="B34" i="5" s="1"/>
  <c r="A35" i="5"/>
  <c r="B35" i="5"/>
  <c r="A36" i="5"/>
  <c r="B36" i="5"/>
  <c r="A37" i="5"/>
  <c r="B37" i="5" s="1"/>
  <c r="A38" i="5"/>
  <c r="B38" i="5"/>
  <c r="A39" i="5"/>
  <c r="B39" i="5" s="1"/>
  <c r="A40" i="5"/>
  <c r="B40" i="5" s="1"/>
  <c r="A41" i="5"/>
  <c r="B41" i="5"/>
  <c r="A42" i="5"/>
  <c r="B42" i="5"/>
  <c r="A43" i="5"/>
  <c r="B43" i="5" s="1"/>
  <c r="A44" i="5"/>
  <c r="B44" i="5"/>
  <c r="A45" i="5"/>
  <c r="B45" i="5" s="1"/>
  <c r="A46" i="5"/>
  <c r="B46" i="5" s="1"/>
  <c r="A47" i="5"/>
  <c r="B47" i="5"/>
  <c r="A48" i="5"/>
  <c r="B48" i="5"/>
  <c r="A49" i="5"/>
  <c r="B49" i="5" s="1"/>
  <c r="A50" i="5"/>
  <c r="B50" i="5"/>
  <c r="A51" i="5"/>
  <c r="B51" i="5" s="1"/>
  <c r="A52" i="5"/>
  <c r="B52" i="5" s="1"/>
  <c r="A53" i="5"/>
  <c r="B53" i="5"/>
  <c r="A54" i="5"/>
  <c r="B54" i="5"/>
  <c r="A55" i="5"/>
  <c r="B55" i="5" s="1"/>
  <c r="A56" i="5"/>
  <c r="B56" i="5"/>
  <c r="A57" i="5"/>
  <c r="B57" i="5" s="1"/>
  <c r="A58" i="5"/>
  <c r="B58" i="5" s="1"/>
  <c r="A59" i="5"/>
  <c r="B59" i="5"/>
  <c r="A60" i="5"/>
  <c r="B60" i="5"/>
  <c r="A61" i="5"/>
  <c r="B61" i="5" s="1"/>
  <c r="A62" i="5"/>
  <c r="B62" i="5"/>
  <c r="A63" i="5"/>
  <c r="B63" i="5" s="1"/>
  <c r="A64" i="5"/>
  <c r="B64" i="5" s="1"/>
  <c r="A65" i="5"/>
  <c r="B65" i="5"/>
  <c r="A66" i="5"/>
  <c r="B66" i="5"/>
  <c r="A67" i="5"/>
  <c r="B67" i="5" s="1"/>
  <c r="A68" i="5"/>
  <c r="B68" i="5"/>
  <c r="A69" i="5"/>
  <c r="B69" i="5" s="1"/>
  <c r="A70" i="5"/>
  <c r="B70" i="5" s="1"/>
  <c r="A71" i="5"/>
  <c r="B71" i="5"/>
  <c r="A72" i="5"/>
  <c r="B72" i="5"/>
  <c r="A73" i="5"/>
  <c r="B73" i="5" s="1"/>
  <c r="A74" i="5"/>
  <c r="B74" i="5"/>
  <c r="A75" i="5"/>
  <c r="B75" i="5" s="1"/>
  <c r="A76" i="5"/>
  <c r="B76" i="5" s="1"/>
  <c r="A77" i="5"/>
  <c r="B77" i="5"/>
  <c r="A78" i="5"/>
  <c r="B78" i="5"/>
  <c r="A79" i="5"/>
  <c r="B79" i="5" s="1"/>
  <c r="A80" i="5"/>
  <c r="B80" i="5"/>
  <c r="A81" i="5"/>
  <c r="B81" i="5" s="1"/>
  <c r="A82" i="5"/>
  <c r="B82" i="5" s="1"/>
  <c r="A83" i="5"/>
  <c r="B83" i="5"/>
  <c r="A84" i="5"/>
  <c r="B84" i="5" s="1"/>
  <c r="A85" i="5"/>
  <c r="B85" i="5" s="1"/>
  <c r="A86" i="5"/>
  <c r="B86" i="5"/>
  <c r="A87" i="5"/>
  <c r="B87" i="5" s="1"/>
  <c r="A88" i="5"/>
  <c r="B88" i="5" s="1"/>
  <c r="A89" i="5"/>
  <c r="B89" i="5"/>
  <c r="A90" i="5"/>
  <c r="B90" i="5"/>
  <c r="A91" i="5"/>
  <c r="B91" i="5" s="1"/>
  <c r="A92" i="5"/>
  <c r="B92" i="5"/>
  <c r="A93" i="5"/>
  <c r="B93" i="5" s="1"/>
  <c r="A94" i="5"/>
  <c r="B94" i="5" s="1"/>
  <c r="A95" i="5"/>
  <c r="B95" i="5"/>
  <c r="A96" i="5"/>
  <c r="B96" i="5"/>
  <c r="A97" i="5"/>
  <c r="B97" i="5" s="1"/>
  <c r="A98" i="5"/>
  <c r="B98" i="5"/>
  <c r="A99" i="5"/>
  <c r="B99" i="5" s="1"/>
  <c r="A100" i="5"/>
  <c r="B100" i="5" s="1"/>
  <c r="A101" i="5"/>
  <c r="B101" i="5"/>
  <c r="A102" i="5"/>
  <c r="B102" i="5"/>
  <c r="A103" i="5"/>
  <c r="B103" i="5" s="1"/>
  <c r="A104" i="5"/>
  <c r="B104" i="5"/>
  <c r="A105" i="5"/>
  <c r="B105" i="5" s="1"/>
  <c r="A106" i="5"/>
  <c r="B106" i="5" s="1"/>
  <c r="A107" i="5"/>
  <c r="B107" i="5"/>
  <c r="A108" i="5"/>
  <c r="B108" i="5"/>
  <c r="A109" i="5"/>
  <c r="B109" i="5" s="1"/>
  <c r="A110" i="5"/>
  <c r="B110" i="5"/>
  <c r="A111" i="5"/>
  <c r="B111" i="5" s="1"/>
  <c r="A112" i="5"/>
  <c r="B112" i="5" s="1"/>
  <c r="A113" i="5"/>
  <c r="B113" i="5"/>
  <c r="A114" i="5"/>
  <c r="B114" i="5"/>
  <c r="A115" i="5"/>
  <c r="B115" i="5" s="1"/>
  <c r="A116" i="5"/>
  <c r="B116" i="5"/>
  <c r="A117" i="5"/>
  <c r="B117" i="5" s="1"/>
  <c r="A118" i="5"/>
  <c r="B118" i="5" s="1"/>
  <c r="A119" i="5"/>
  <c r="B119" i="5"/>
  <c r="A120" i="5"/>
  <c r="B120" i="5"/>
  <c r="A121" i="5"/>
  <c r="B121" i="5" s="1"/>
  <c r="A122" i="5"/>
  <c r="B122" i="5"/>
  <c r="A123" i="5"/>
  <c r="B123" i="5" s="1"/>
  <c r="A124" i="5"/>
  <c r="B124" i="5" s="1"/>
  <c r="A125" i="5"/>
  <c r="B125" i="5"/>
  <c r="A126" i="5"/>
  <c r="B126" i="5"/>
  <c r="A127" i="5"/>
  <c r="B127" i="5" s="1"/>
  <c r="A128" i="5"/>
  <c r="B128" i="5"/>
  <c r="A129" i="5"/>
  <c r="B129" i="5" s="1"/>
  <c r="A130" i="5"/>
  <c r="B130" i="5" s="1"/>
  <c r="A131" i="5"/>
  <c r="B131" i="5"/>
  <c r="A132" i="5"/>
  <c r="B132" i="5"/>
  <c r="A133" i="5"/>
  <c r="B133" i="5" s="1"/>
  <c r="A134" i="5"/>
  <c r="B134" i="5"/>
  <c r="A135" i="5"/>
  <c r="B135" i="5" s="1"/>
  <c r="A136" i="5"/>
  <c r="B136" i="5" s="1"/>
  <c r="A137" i="5"/>
  <c r="B137" i="5"/>
  <c r="A138" i="5"/>
  <c r="B138" i="5"/>
  <c r="A139" i="5"/>
  <c r="B139" i="5" s="1"/>
  <c r="A140" i="5"/>
  <c r="B140" i="5"/>
  <c r="A141" i="5"/>
  <c r="B141" i="5" s="1"/>
  <c r="A142" i="5"/>
  <c r="B142" i="5" s="1"/>
  <c r="A143" i="5"/>
  <c r="B143" i="5"/>
  <c r="A144" i="5"/>
  <c r="B144" i="5"/>
  <c r="A145" i="5"/>
  <c r="B145" i="5" s="1"/>
  <c r="A146" i="5"/>
  <c r="B146" i="5"/>
  <c r="A147" i="5"/>
  <c r="B147" i="5" s="1"/>
  <c r="A148" i="5"/>
  <c r="B148" i="5" s="1"/>
  <c r="A149" i="5"/>
  <c r="B149" i="5"/>
  <c r="A150" i="5"/>
  <c r="B150" i="5"/>
  <c r="A151" i="5"/>
  <c r="B151" i="5" s="1"/>
  <c r="A152" i="5"/>
  <c r="B152" i="5"/>
  <c r="A153" i="5"/>
  <c r="B153" i="5" s="1"/>
  <c r="A154" i="5"/>
  <c r="B154" i="5" s="1"/>
  <c r="A155" i="5"/>
  <c r="B155" i="5"/>
  <c r="A156" i="5"/>
  <c r="B156" i="5"/>
  <c r="A157" i="5"/>
  <c r="B157" i="5" s="1"/>
  <c r="A158" i="5"/>
  <c r="B158" i="5"/>
  <c r="A159" i="5"/>
  <c r="B159" i="5" s="1"/>
  <c r="A160" i="5"/>
  <c r="B160" i="5" s="1"/>
  <c r="A161" i="5"/>
  <c r="B161" i="5"/>
  <c r="A162" i="5"/>
  <c r="B162" i="5"/>
  <c r="A163" i="5"/>
  <c r="B163" i="5" s="1"/>
  <c r="A164" i="5"/>
  <c r="B164" i="5"/>
  <c r="A165" i="5"/>
  <c r="B165" i="5" s="1"/>
  <c r="A166" i="5"/>
  <c r="B166" i="5" s="1"/>
  <c r="A167" i="5"/>
  <c r="B167" i="5"/>
  <c r="A168" i="5"/>
  <c r="B168" i="5"/>
  <c r="A169" i="5"/>
  <c r="B169" i="5" s="1"/>
  <c r="A170" i="5"/>
  <c r="B170" i="5"/>
  <c r="A171" i="5"/>
  <c r="B171" i="5" s="1"/>
  <c r="A172" i="5"/>
  <c r="B172" i="5" s="1"/>
  <c r="A173" i="5"/>
  <c r="B173" i="5"/>
  <c r="A174" i="5"/>
  <c r="B174" i="5"/>
  <c r="A175" i="5"/>
  <c r="B175" i="5" s="1"/>
  <c r="A176" i="5"/>
  <c r="B176" i="5"/>
  <c r="A177" i="5"/>
  <c r="B177" i="5" s="1"/>
  <c r="A178" i="5"/>
  <c r="B178" i="5" s="1"/>
  <c r="A179" i="5"/>
  <c r="B179" i="5"/>
  <c r="A180" i="5"/>
  <c r="B180" i="5"/>
  <c r="A181" i="5"/>
  <c r="B181" i="5" s="1"/>
  <c r="A182" i="5"/>
  <c r="B182" i="5"/>
  <c r="A183" i="5"/>
  <c r="B183" i="5" s="1"/>
  <c r="A184" i="5"/>
  <c r="B184" i="5" s="1"/>
  <c r="A185" i="5"/>
  <c r="B185" i="5"/>
  <c r="A186" i="5"/>
  <c r="B186" i="5"/>
  <c r="A187" i="5"/>
  <c r="B187" i="5" s="1"/>
  <c r="A188" i="5"/>
  <c r="B188" i="5"/>
  <c r="A189" i="5"/>
  <c r="B189" i="5" s="1"/>
  <c r="A190" i="5"/>
  <c r="B190" i="5" s="1"/>
  <c r="A191" i="5"/>
  <c r="B191" i="5"/>
  <c r="A192" i="5"/>
  <c r="B192" i="5"/>
  <c r="A193" i="5"/>
  <c r="B193" i="5" s="1"/>
  <c r="A194" i="5"/>
  <c r="B194" i="5"/>
  <c r="A195" i="5"/>
  <c r="B195" i="5" s="1"/>
  <c r="A196" i="5"/>
  <c r="B196" i="5" s="1"/>
  <c r="A197" i="5"/>
  <c r="B197" i="5"/>
  <c r="A198" i="5"/>
  <c r="B198" i="5"/>
  <c r="A199" i="5"/>
  <c r="B199" i="5" s="1"/>
  <c r="A200" i="5"/>
  <c r="B200" i="5"/>
  <c r="A201" i="5"/>
  <c r="B201" i="5" s="1"/>
  <c r="A202" i="5"/>
  <c r="B202" i="5" s="1"/>
  <c r="A203" i="5"/>
  <c r="B203" i="5"/>
  <c r="A204" i="5"/>
  <c r="B204" i="5"/>
  <c r="A205" i="5"/>
  <c r="B205" i="5" s="1"/>
  <c r="A206" i="5"/>
  <c r="B206" i="5"/>
  <c r="A207" i="5"/>
  <c r="B207" i="5" s="1"/>
  <c r="A208" i="5"/>
  <c r="B208" i="5" s="1"/>
  <c r="A209" i="5"/>
  <c r="B209" i="5"/>
  <c r="A210" i="5"/>
  <c r="B210" i="5"/>
  <c r="A211" i="5"/>
  <c r="B211" i="5" s="1"/>
  <c r="A212" i="5"/>
  <c r="B212" i="5"/>
  <c r="A213" i="5"/>
  <c r="B213" i="5" s="1"/>
  <c r="A214" i="5"/>
  <c r="B214" i="5" s="1"/>
  <c r="A215" i="5"/>
  <c r="B215" i="5"/>
  <c r="A216" i="5"/>
  <c r="B216" i="5"/>
  <c r="A217" i="5"/>
  <c r="B217" i="5" s="1"/>
  <c r="A218" i="5"/>
  <c r="B218" i="5"/>
  <c r="A219" i="5"/>
  <c r="B219" i="5" s="1"/>
  <c r="A220" i="5"/>
  <c r="B220" i="5" s="1"/>
  <c r="A221" i="5"/>
  <c r="B221" i="5"/>
  <c r="A222" i="5"/>
  <c r="B222" i="5"/>
  <c r="A223" i="5"/>
  <c r="B223" i="5" s="1"/>
  <c r="A224" i="5"/>
  <c r="B224" i="5"/>
  <c r="A225" i="5"/>
  <c r="B225" i="5" s="1"/>
  <c r="A226" i="5"/>
  <c r="B226" i="5" s="1"/>
  <c r="A227" i="5"/>
  <c r="B227" i="5"/>
  <c r="A228" i="5"/>
  <c r="B228" i="5"/>
  <c r="A229" i="5"/>
  <c r="B229" i="5" s="1"/>
  <c r="A230" i="5"/>
  <c r="B230" i="5"/>
  <c r="A231" i="5"/>
  <c r="B231" i="5" s="1"/>
  <c r="A232" i="5"/>
  <c r="B232" i="5" s="1"/>
  <c r="A233" i="5"/>
  <c r="B233" i="5"/>
  <c r="A234" i="5"/>
  <c r="B234" i="5"/>
  <c r="A235" i="5"/>
  <c r="B235" i="5" s="1"/>
  <c r="A236" i="5"/>
  <c r="B236" i="5"/>
  <c r="A237" i="5"/>
  <c r="B237" i="5" s="1"/>
  <c r="A238" i="5"/>
  <c r="B238" i="5" s="1"/>
  <c r="A239" i="5"/>
  <c r="B239" i="5"/>
  <c r="A240" i="5"/>
  <c r="B240" i="5"/>
  <c r="A241" i="5"/>
  <c r="B241" i="5" s="1"/>
  <c r="A242" i="5"/>
  <c r="B242" i="5"/>
  <c r="A243" i="5"/>
  <c r="B243" i="5" s="1"/>
  <c r="A244" i="5"/>
  <c r="B244" i="5" s="1"/>
  <c r="A245" i="5"/>
  <c r="B245" i="5"/>
  <c r="A246" i="5"/>
  <c r="B246" i="5"/>
  <c r="A247" i="5"/>
  <c r="B247" i="5" s="1"/>
  <c r="A248" i="5"/>
  <c r="B248" i="5"/>
  <c r="A249" i="5"/>
  <c r="B249" i="5" s="1"/>
  <c r="A250" i="5"/>
  <c r="B250" i="5" s="1"/>
  <c r="A251" i="5"/>
  <c r="B251" i="5"/>
  <c r="A252" i="5"/>
  <c r="B252" i="5"/>
  <c r="A253" i="5"/>
  <c r="B253" i="5" s="1"/>
  <c r="A254" i="5"/>
  <c r="B254" i="5"/>
  <c r="A255" i="5"/>
  <c r="B255" i="5" s="1"/>
  <c r="A256" i="5"/>
  <c r="B256" i="5" s="1"/>
  <c r="A12" i="3" l="1"/>
  <c r="I22" i="3"/>
  <c r="I19" i="3"/>
  <c r="A5" i="3"/>
  <c r="B6" i="5"/>
  <c r="E6" i="5" s="1"/>
  <c r="F9" i="5" s="1"/>
  <c r="F14" i="3"/>
  <c r="F25" i="4"/>
  <c r="F26" i="4" s="1"/>
  <c r="F14" i="4"/>
  <c r="E5" i="2"/>
  <c r="E6" i="2" s="1"/>
  <c r="D9" i="2" s="1"/>
  <c r="F25" i="3"/>
  <c r="F26" i="3" l="1"/>
  <c r="F29" i="3"/>
  <c r="F30" i="3" s="1"/>
  <c r="F32" i="3"/>
  <c r="F33" i="3" s="1"/>
  <c r="F34" i="3" s="1"/>
  <c r="A12" i="4"/>
  <c r="A5" i="4"/>
  <c r="B22" i="4"/>
  <c r="B23" i="4" s="1"/>
  <c r="B24" i="4" s="1"/>
  <c r="D24" i="4" s="1"/>
  <c r="D18" i="2"/>
  <c r="D20" i="2" s="1"/>
  <c r="E9" i="2"/>
  <c r="F9" i="2" s="1"/>
  <c r="D14" i="2" s="1"/>
  <c r="F14" i="2" s="1"/>
  <c r="G14" i="2" s="1"/>
  <c r="F20" i="2" l="1"/>
  <c r="F18" i="2" s="1"/>
  <c r="B6" i="4"/>
  <c r="B7" i="4" s="1"/>
  <c r="B26" i="4"/>
  <c r="B27" i="4" s="1"/>
  <c r="B28" i="4" s="1"/>
  <c r="D28" i="4" s="1"/>
  <c r="B13" i="4"/>
  <c r="F32" i="4"/>
  <c r="F33" i="4" s="1"/>
  <c r="F34" i="4" s="1"/>
  <c r="F29" i="4" l="1"/>
  <c r="F30" i="4" s="1"/>
  <c r="B14" i="4"/>
</calcChain>
</file>

<file path=xl/comments1.xml><?xml version="1.0" encoding="utf-8"?>
<comments xmlns="http://schemas.openxmlformats.org/spreadsheetml/2006/main">
  <authors>
    <author>Jerry Flores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Jerry Flores:</t>
        </r>
        <r>
          <rPr>
            <sz val="9"/>
            <color indexed="81"/>
            <rFont val="Tahoma"/>
            <family val="2"/>
          </rPr>
          <t xml:space="preserve">
if using Log Power averaging and Noise marker, Set RBW =1 and filter factor = 1 (detector type can be Sample or Average.</t>
        </r>
      </text>
    </comment>
  </commentList>
</comments>
</file>

<file path=xl/comments2.xml><?xml version="1.0" encoding="utf-8"?>
<comments xmlns="http://schemas.openxmlformats.org/spreadsheetml/2006/main">
  <authors>
    <author>Jerry Flores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Jerry Flores:</t>
        </r>
        <r>
          <rPr>
            <sz val="9"/>
            <color indexed="81"/>
            <rFont val="Tahoma"/>
            <family val="2"/>
          </rPr>
          <t xml:space="preserve">
ENR values are taken at 17C.  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Jerry Flores:
if using Log Power averaging and Noise marker, Set RBW =1 and filter factor = 1 (detector type can be Sample or Average)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Jerry Flores:</t>
        </r>
        <r>
          <rPr>
            <sz val="9"/>
            <color indexed="81"/>
            <rFont val="Tahoma"/>
            <charset val="1"/>
          </rPr>
          <t xml:space="preserve">
enter elvevated temp. to correct ENR.  To is held at 290K.  See other spreadsheet which corrects for ENR and elevated To.</t>
        </r>
      </text>
    </comment>
  </commentList>
</comments>
</file>

<file path=xl/comments3.xml><?xml version="1.0" encoding="utf-8"?>
<comments xmlns="http://schemas.openxmlformats.org/spreadsheetml/2006/main">
  <authors>
    <author>Jerry Flores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Jerry Flores:</t>
        </r>
        <r>
          <rPr>
            <sz val="9"/>
            <color indexed="81"/>
            <rFont val="Tahoma"/>
            <family val="2"/>
          </rPr>
          <t xml:space="preserve">
ENR values are taken at 17C.  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Jerry Flores:
if using Log Power averaging and Noise marker, Set RBW =1 and filter factor = 1 (detector type can be Sample or Average)</t>
        </r>
      </text>
    </comment>
  </commentList>
</comments>
</file>

<file path=xl/sharedStrings.xml><?xml version="1.0" encoding="utf-8"?>
<sst xmlns="http://schemas.openxmlformats.org/spreadsheetml/2006/main" count="194" uniqueCount="97">
  <si>
    <t>enter yellow cells</t>
  </si>
  <si>
    <t>Boltzmann's constant (Joules/K)</t>
  </si>
  <si>
    <t>room temp (°C)</t>
  </si>
  <si>
    <t>Kelvin (273 + C)</t>
  </si>
  <si>
    <t>thermal noise = W / Hz</t>
  </si>
  <si>
    <t>thermal noise (dBm) in 1Hz BW</t>
  </si>
  <si>
    <t>Detector type = Sample or Average</t>
  </si>
  <si>
    <t>measured DANL (dBm) @ RBW</t>
  </si>
  <si>
    <t>RBW (HZ)</t>
  </si>
  <si>
    <t>RBW (dB)</t>
  </si>
  <si>
    <t>Theoritical nosie floor</t>
  </si>
  <si>
    <t>NF (dB)</t>
  </si>
  <si>
    <t>Noise Factor</t>
  </si>
  <si>
    <t>RBW filter factor (when using Power averaging and normal marker)</t>
  </si>
  <si>
    <t>dBm/Hz</t>
  </si>
  <si>
    <t>dB</t>
  </si>
  <si>
    <t>0.8 seems to be used for Siglent</t>
  </si>
  <si>
    <t>corrected BW for DANL level</t>
  </si>
  <si>
    <t>W</t>
  </si>
  <si>
    <t>dBm</t>
  </si>
  <si>
    <t>for Pin = k*To*B, Fins = 1+Tins/To</t>
  </si>
  <si>
    <t>Temp_instrument</t>
  </si>
  <si>
    <t>Pout</t>
  </si>
  <si>
    <t>DUT + DANL</t>
  </si>
  <si>
    <t>noise floor (dBm)</t>
  </si>
  <si>
    <t>Gain (dB)</t>
  </si>
  <si>
    <t>Ftotal (DUT + DANL)</t>
  </si>
  <si>
    <t>Solving for DUT NF</t>
  </si>
  <si>
    <t>linear</t>
  </si>
  <si>
    <t>Spectrum Analyzer eq. Temp</t>
  </si>
  <si>
    <t>ENR (dB)</t>
  </si>
  <si>
    <t>Boltzmann constant J/K</t>
  </si>
  <si>
    <t>loss (dB)</t>
  </si>
  <si>
    <t>Celsius</t>
  </si>
  <si>
    <t>Kelvin</t>
  </si>
  <si>
    <t>k*To (W)</t>
  </si>
  <si>
    <t>BW (HZ)</t>
  </si>
  <si>
    <t>Tins = (Ton - Yins*Toff)/(Yins-1)</t>
  </si>
  <si>
    <t>Fins = 1+Tins/To</t>
  </si>
  <si>
    <t>To = 290K</t>
  </si>
  <si>
    <t>ENR = [(Ton - Toff)/To]</t>
  </si>
  <si>
    <t>elevated Toff</t>
  </si>
  <si>
    <t>To = Toff = 290</t>
  </si>
  <si>
    <t>DUT + Spectrum Analyzer eq. Temp</t>
  </si>
  <si>
    <t>Ton = To(1+loss*ENR)</t>
  </si>
  <si>
    <t>T12 = (Ton - Y*Toff)/(Y-1)</t>
  </si>
  <si>
    <t>ENR corrected for temp</t>
  </si>
  <si>
    <t>F12 = 1+T12/To</t>
  </si>
  <si>
    <t>new Temp</t>
  </si>
  <si>
    <t>use 290K since ENR is corrected</t>
  </si>
  <si>
    <t>Spectrum Analyzer DANL</t>
  </si>
  <si>
    <r>
      <rPr>
        <sz val="10"/>
        <rFont val="Calibri"/>
        <family val="2"/>
      </rPr>
      <t>∆</t>
    </r>
    <r>
      <rPr>
        <sz val="10"/>
        <rFont val="Arial"/>
        <family val="2"/>
      </rPr>
      <t>Y(On/Off)</t>
    </r>
  </si>
  <si>
    <r>
      <rPr>
        <sz val="10"/>
        <rFont val="Calibri"/>
        <family val="2"/>
      </rPr>
      <t>∆</t>
    </r>
    <r>
      <rPr>
        <sz val="10"/>
        <rFont val="Arial"/>
        <family val="2"/>
      </rPr>
      <t>Y(On/Off) dB</t>
    </r>
  </si>
  <si>
    <t>no DUT: OFF output noise floor (dBm)</t>
  </si>
  <si>
    <t>no DUT: ON output noise floor (dBm)</t>
  </si>
  <si>
    <t>Sanity Check (relies on knowing the exact BW, adjust BW factor to match measured results)</t>
  </si>
  <si>
    <t>DANL with DUT</t>
  </si>
  <si>
    <t>Ftotal_on= (T_on+Tins)/To</t>
  </si>
  <si>
    <t>with DUT: OFF output noise floor (dBm)</t>
  </si>
  <si>
    <t>Pout_ON=k*To*BW*Ftotal</t>
  </si>
  <si>
    <t>measured</t>
  </si>
  <si>
    <t>with DUT: ON output noise floor (dBm)</t>
  </si>
  <si>
    <t>Gain of DUT</t>
  </si>
  <si>
    <t>Gain = (N12_on – N12_off) / (N2_on – N2_off) (in watts)</t>
  </si>
  <si>
    <t>Ftotal_off= (To+Tins)/To = F_inst</t>
  </si>
  <si>
    <t>Pout_Off=k*To*BW*Ftotal</t>
  </si>
  <si>
    <t>NF of DUT</t>
  </si>
  <si>
    <t>F1 = F12 -(F2-1)/G1</t>
  </si>
  <si>
    <t>OR</t>
  </si>
  <si>
    <t>recorded data</t>
  </si>
  <si>
    <t>(temp of DUT) T1 = T12 - T2/G1</t>
  </si>
  <si>
    <t>GVA-62</t>
  </si>
  <si>
    <t>Gali-39</t>
  </si>
  <si>
    <t>F1 = 1 + T1/To</t>
  </si>
  <si>
    <t xml:space="preserve">spec </t>
  </si>
  <si>
    <t>5dB</t>
  </si>
  <si>
    <t>2.24dB</t>
  </si>
  <si>
    <t>NF</t>
  </si>
  <si>
    <t>gain network analyzer</t>
  </si>
  <si>
    <t>off (DANL)</t>
  </si>
  <si>
    <t>on (DANL)</t>
  </si>
  <si>
    <t>To = elevated temp</t>
  </si>
  <si>
    <t>Ton = To(1+loss*ENR_corr)</t>
  </si>
  <si>
    <t>Watts (lower)</t>
  </si>
  <si>
    <t>Watts(upper)</t>
  </si>
  <si>
    <t>noise peak to peak</t>
  </si>
  <si>
    <t>A</t>
  </si>
  <si>
    <t>B</t>
  </si>
  <si>
    <t>=RAND()*(b-a)+a</t>
  </si>
  <si>
    <t>funtion F9 to update</t>
  </si>
  <si>
    <t>Watts</t>
  </si>
  <si>
    <t>Averag Watts</t>
  </si>
  <si>
    <t>Average dBm</t>
  </si>
  <si>
    <t>difference</t>
  </si>
  <si>
    <t>convertt to dBm</t>
  </si>
  <si>
    <t>Average watt(dBm) - Average (dBm)</t>
  </si>
  <si>
    <t>This spreadsheet uses the elevated temp for To.  The ENR is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</si>
</sst>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E+00"/>
    <numFmt numFmtId="165" formatCode="0.000E+00"/>
    <numFmt numFmtId="166" formatCode="0.000"/>
    <numFmt numFmtId="167" formatCode="0.00000"/>
    <numFmt numFmtId="168" formatCode="#,##0.000"/>
    <numFmt numFmtId="169" formatCode="0.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sz val="10"/>
      <color indexed="8"/>
      <name val="MS Serif"/>
      <family val="1"/>
    </font>
    <font>
      <b/>
      <sz val="1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2" fontId="1" fillId="0" borderId="0" xfId="1" applyNumberFormat="1"/>
    <xf numFmtId="2" fontId="1" fillId="0" borderId="0" xfId="1" applyNumberFormat="1" applyAlignment="1">
      <alignment horizontal="center"/>
    </xf>
    <xf numFmtId="0" fontId="1" fillId="2" borderId="0" xfId="1" applyFill="1" applyAlignment="1">
      <alignment horizontal="center"/>
    </xf>
    <xf numFmtId="164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166" fontId="1" fillId="0" borderId="0" xfId="1" applyNumberFormat="1" applyAlignment="1">
      <alignment horizontal="center"/>
    </xf>
    <xf numFmtId="167" fontId="1" fillId="0" borderId="0" xfId="1" applyNumberFormat="1" applyAlignment="1">
      <alignment horizontal="center"/>
    </xf>
    <xf numFmtId="2" fontId="3" fillId="0" borderId="0" xfId="1" applyNumberFormat="1" applyFont="1" applyAlignment="1">
      <alignment horizontal="center"/>
    </xf>
    <xf numFmtId="0" fontId="1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11" fontId="1" fillId="0" borderId="0" xfId="1" applyNumberFormat="1" applyAlignment="1">
      <alignment horizontal="center"/>
    </xf>
    <xf numFmtId="166" fontId="1" fillId="0" borderId="0" xfId="1" quotePrefix="1" applyNumberFormat="1" applyAlignment="1">
      <alignment horizontal="center"/>
    </xf>
    <xf numFmtId="2" fontId="1" fillId="0" borderId="0" xfId="1" applyNumberFormat="1" applyAlignment="1">
      <alignment horizontal="center" wrapText="1"/>
    </xf>
    <xf numFmtId="166" fontId="1" fillId="2" borderId="0" xfId="1" applyNumberFormat="1" applyFill="1" applyAlignment="1">
      <alignment horizontal="center"/>
    </xf>
    <xf numFmtId="2" fontId="1" fillId="2" borderId="0" xfId="1" applyNumberFormat="1" applyFill="1" applyAlignment="1">
      <alignment horizontal="center"/>
    </xf>
    <xf numFmtId="2" fontId="1" fillId="0" borderId="0" xfId="1" quotePrefix="1" applyNumberFormat="1" applyAlignment="1">
      <alignment horizontal="center"/>
    </xf>
    <xf numFmtId="166" fontId="1" fillId="0" borderId="0" xfId="1" applyNumberFormat="1" applyAlignment="1">
      <alignment horizontal="center" wrapText="1"/>
    </xf>
    <xf numFmtId="166" fontId="5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166" fontId="1" fillId="3" borderId="0" xfId="1" applyNumberFormat="1" applyFill="1" applyAlignment="1">
      <alignment horizontal="center"/>
    </xf>
    <xf numFmtId="166" fontId="1" fillId="0" borderId="0" xfId="1" applyNumberFormat="1"/>
    <xf numFmtId="11" fontId="1" fillId="0" borderId="0" xfId="1" applyNumberFormat="1" applyAlignment="1">
      <alignment horizontal="center" wrapText="1"/>
    </xf>
    <xf numFmtId="0" fontId="1" fillId="0" borderId="0" xfId="1" applyAlignment="1">
      <alignment wrapText="1"/>
    </xf>
    <xf numFmtId="166" fontId="1" fillId="4" borderId="0" xfId="1" applyNumberFormat="1" applyFill="1" applyAlignment="1">
      <alignment horizontal="center"/>
    </xf>
    <xf numFmtId="0" fontId="1" fillId="3" borderId="0" xfId="1" applyFill="1" applyAlignment="1">
      <alignment horizontal="center"/>
    </xf>
    <xf numFmtId="0" fontId="1" fillId="0" borderId="0" xfId="1" quotePrefix="1" applyAlignment="1">
      <alignment horizontal="center"/>
    </xf>
    <xf numFmtId="166" fontId="1" fillId="5" borderId="0" xfId="1" applyNumberFormat="1" applyFill="1" applyAlignment="1">
      <alignment horizontal="center"/>
    </xf>
    <xf numFmtId="0" fontId="1" fillId="0" borderId="0" xfId="1" applyAlignment="1">
      <alignment horizontal="center" wrapText="1"/>
    </xf>
    <xf numFmtId="168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0" fontId="1" fillId="6" borderId="0" xfId="1" applyFill="1" applyAlignment="1">
      <alignment horizontal="center" wrapText="1"/>
    </xf>
    <xf numFmtId="0" fontId="1" fillId="6" borderId="0" xfId="1" applyFill="1" applyAlignment="1">
      <alignment horizontal="center"/>
    </xf>
    <xf numFmtId="0" fontId="1" fillId="7" borderId="0" xfId="1" applyFill="1" applyAlignment="1">
      <alignment horizontal="center"/>
    </xf>
    <xf numFmtId="169" fontId="1" fillId="0" borderId="0" xfId="1" applyNumberFormat="1" applyAlignment="1">
      <alignment horizontal="center"/>
    </xf>
    <xf numFmtId="169" fontId="1" fillId="3" borderId="0" xfId="1" applyNumberFormat="1" applyFill="1" applyAlignment="1">
      <alignment horizontal="center"/>
    </xf>
    <xf numFmtId="0" fontId="1" fillId="0" borderId="0" xfId="1" quotePrefix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8" borderId="0" xfId="1" applyFill="1" applyAlignment="1">
      <alignment horizontal="center"/>
    </xf>
    <xf numFmtId="2" fontId="1" fillId="0" borderId="0" xfId="1" applyNumberFormat="1" applyAlignment="1">
      <alignment horizontal="center"/>
    </xf>
    <xf numFmtId="0" fontId="1" fillId="0" borderId="0" xfId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Jerry%20Flores\projects\Siglent\deliverables\Spectrum%20Analyzer\Y%20factor%20noise%20source%20path%20with%20DA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ise (elevated DANL) (cold)"/>
      <sheetName val="delta Y"/>
      <sheetName val="delta Y (elevated temp)"/>
      <sheetName val="ave log power"/>
    </sheetNames>
    <sheetDataSet>
      <sheetData sheetId="0"/>
      <sheetData sheetId="1">
        <row r="4">
          <cell r="F4">
            <v>1.3806580000000001E-23</v>
          </cell>
          <cell r="I4">
            <v>290</v>
          </cell>
        </row>
        <row r="5">
          <cell r="A5">
            <v>8204.6949135504565</v>
          </cell>
          <cell r="K5">
            <v>1</v>
          </cell>
        </row>
        <row r="6">
          <cell r="G6">
            <v>1</v>
          </cell>
        </row>
        <row r="12">
          <cell r="A12">
            <v>990.61589195679323</v>
          </cell>
        </row>
        <row r="14">
          <cell r="F14">
            <v>6797.257578970024</v>
          </cell>
        </row>
      </sheetData>
      <sheetData sheetId="2">
        <row r="10">
          <cell r="I10">
            <v>296.89999999999998</v>
          </cell>
        </row>
        <row r="12">
          <cell r="F12">
            <v>22.415026134379392</v>
          </cell>
        </row>
      </sheetData>
      <sheetData sheetId="3">
        <row r="3">
          <cell r="A3">
            <v>9.9999999999999995E-7</v>
          </cell>
          <cell r="B3">
            <v>1.0000000000000001E-5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796875" defaultRowHeight="12.5" x14ac:dyDescent="0.25"/>
  <cols>
    <col min="1" max="1" width="32.1796875" style="1" bestFit="1" customWidth="1"/>
    <col min="2" max="3" width="15.26953125" style="2" customWidth="1"/>
    <col min="4" max="4" width="20.81640625" style="2" bestFit="1" customWidth="1"/>
    <col min="5" max="5" width="12.453125" style="2" bestFit="1" customWidth="1"/>
    <col min="6" max="6" width="16.7265625" style="2" bestFit="1" customWidth="1"/>
    <col min="7" max="7" width="30" style="2" customWidth="1"/>
    <col min="8" max="8" width="16.453125" style="2" bestFit="1" customWidth="1"/>
    <col min="9" max="9" width="15.1796875" style="2" bestFit="1" customWidth="1"/>
    <col min="10" max="10" width="24.7265625" style="2" bestFit="1" customWidth="1"/>
    <col min="11" max="13" width="15.54296875" style="2" customWidth="1"/>
    <col min="14" max="14" width="19.26953125" style="2" customWidth="1"/>
    <col min="15" max="15" width="15.54296875" style="2" customWidth="1"/>
    <col min="16" max="16" width="19.54296875" style="2" customWidth="1"/>
    <col min="17" max="17" width="14.7265625" style="2" customWidth="1"/>
    <col min="18" max="18" width="15.54296875" style="2" customWidth="1"/>
    <col min="19" max="20" width="15.81640625" style="2" customWidth="1"/>
    <col min="21" max="24" width="12.7265625" style="2" customWidth="1"/>
    <col min="25" max="25" width="18.7265625" style="2" customWidth="1"/>
    <col min="26" max="26" width="30.453125" style="6" customWidth="1"/>
    <col min="27" max="27" width="18.26953125" style="6" customWidth="1"/>
    <col min="28" max="28" width="9.1796875" style="6"/>
    <col min="29" max="16384" width="9.1796875" style="7"/>
  </cols>
  <sheetData>
    <row r="1" spans="1:16" x14ac:dyDescent="0.25">
      <c r="G1" s="3" t="s">
        <v>0</v>
      </c>
      <c r="I1" s="4"/>
      <c r="J1" s="5"/>
    </row>
    <row r="2" spans="1:16" ht="13" x14ac:dyDescent="0.3">
      <c r="A2" s="8" t="s">
        <v>1</v>
      </c>
      <c r="B2" s="6"/>
      <c r="C2" s="6"/>
      <c r="E2" s="6">
        <f>1.380658*10^-23</f>
        <v>1.3806580000000001E-23</v>
      </c>
    </row>
    <row r="3" spans="1:16" ht="15.5" x14ac:dyDescent="0.35">
      <c r="A3" s="9" t="s">
        <v>2</v>
      </c>
      <c r="B3" s="6"/>
      <c r="C3" s="6"/>
      <c r="E3" s="3">
        <v>23.9</v>
      </c>
      <c r="I3" s="10"/>
      <c r="L3" s="11"/>
      <c r="M3" s="12"/>
    </row>
    <row r="4" spans="1:16" ht="14.5" x14ac:dyDescent="0.35">
      <c r="A4" s="13" t="s">
        <v>3</v>
      </c>
      <c r="E4" s="2">
        <f>E3+273</f>
        <v>296.89999999999998</v>
      </c>
      <c r="I4" s="10"/>
      <c r="K4" s="4"/>
    </row>
    <row r="5" spans="1:16" ht="14.5" x14ac:dyDescent="0.35">
      <c r="A5" s="13" t="s">
        <v>4</v>
      </c>
      <c r="B5" s="5"/>
      <c r="C5" s="5"/>
      <c r="E5" s="4">
        <f>E2*E4</f>
        <v>4.0991736019999997E-21</v>
      </c>
    </row>
    <row r="6" spans="1:16" ht="14.5" x14ac:dyDescent="0.35">
      <c r="A6" s="13" t="s">
        <v>5</v>
      </c>
      <c r="E6" s="10">
        <f>10*LOG10(E5/0.001)</f>
        <v>-173.87303688711035</v>
      </c>
      <c r="I6" s="45"/>
      <c r="J6" s="45"/>
      <c r="K6" s="45"/>
    </row>
    <row r="7" spans="1:16" ht="13" x14ac:dyDescent="0.3">
      <c r="A7" s="14"/>
      <c r="G7" s="15" t="s">
        <v>6</v>
      </c>
    </row>
    <row r="8" spans="1:16" ht="37.5" x14ac:dyDescent="0.25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6" t="s">
        <v>12</v>
      </c>
      <c r="G8" s="17" t="s">
        <v>13</v>
      </c>
    </row>
    <row r="9" spans="1:16" x14ac:dyDescent="0.25">
      <c r="A9" s="18">
        <v>-159.41</v>
      </c>
      <c r="B9" s="18">
        <v>1</v>
      </c>
      <c r="C9" s="10">
        <f>10*LOG(B9)</f>
        <v>0</v>
      </c>
      <c r="D9" s="10">
        <f>E6</f>
        <v>-173.87303688711035</v>
      </c>
      <c r="E9" s="10">
        <f>A9-D9-C11</f>
        <v>14.463036887110349</v>
      </c>
      <c r="F9" s="16">
        <f>10^(E9/10)</f>
        <v>27.944972637573532</v>
      </c>
      <c r="G9" s="19">
        <v>1</v>
      </c>
      <c r="I9" s="2">
        <v>15.061185432142139</v>
      </c>
    </row>
    <row r="10" spans="1:16" x14ac:dyDescent="0.25">
      <c r="A10" s="10" t="s">
        <v>14</v>
      </c>
      <c r="B10" s="10" t="s">
        <v>15</v>
      </c>
      <c r="C10" s="10"/>
      <c r="D10" s="10"/>
      <c r="E10" s="10"/>
      <c r="F10" s="16"/>
      <c r="G10" s="20" t="s">
        <v>16</v>
      </c>
    </row>
    <row r="11" spans="1:16" x14ac:dyDescent="0.25">
      <c r="A11" s="10">
        <f>A9-C11</f>
        <v>-159.41</v>
      </c>
      <c r="B11" s="10">
        <f>B9*G9</f>
        <v>1</v>
      </c>
      <c r="C11" s="10">
        <f>10*LOG(B11)</f>
        <v>0</v>
      </c>
      <c r="D11" s="10"/>
      <c r="E11" s="10"/>
      <c r="F11" s="10"/>
    </row>
    <row r="12" spans="1:16" ht="25" x14ac:dyDescent="0.25">
      <c r="A12" s="10"/>
      <c r="B12" s="21" t="s">
        <v>17</v>
      </c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 t="s">
        <v>18</v>
      </c>
      <c r="G13" s="2" t="s">
        <v>19</v>
      </c>
    </row>
    <row r="14" spans="1:16" x14ac:dyDescent="0.25">
      <c r="A14" s="21" t="s">
        <v>20</v>
      </c>
      <c r="B14" s="10" t="s">
        <v>21</v>
      </c>
      <c r="C14" s="10"/>
      <c r="D14" s="10">
        <f>(F9-1)*E4</f>
        <v>7999.962376095581</v>
      </c>
      <c r="E14" s="10" t="s">
        <v>22</v>
      </c>
      <c r="F14" s="4">
        <f>E2*B9*G9*(E4+D14)</f>
        <v>1.1455129414455374E-19</v>
      </c>
      <c r="G14" s="2">
        <f>10*LOG(F14/0.001)</f>
        <v>-159.41</v>
      </c>
    </row>
    <row r="15" spans="1:16" x14ac:dyDescent="0.25">
      <c r="A15" s="21"/>
      <c r="B15" s="10"/>
      <c r="C15" s="10"/>
      <c r="D15" s="10"/>
      <c r="E15" s="10"/>
      <c r="F15" s="10"/>
    </row>
    <row r="16" spans="1:16" ht="15.5" x14ac:dyDescent="0.35">
      <c r="A16" s="10" t="s">
        <v>23</v>
      </c>
      <c r="B16" s="10"/>
      <c r="C16" s="10"/>
      <c r="D16" s="10"/>
      <c r="E16" s="10"/>
      <c r="F16" s="22"/>
      <c r="G16" s="23"/>
      <c r="H16" s="23"/>
      <c r="I16" s="23"/>
      <c r="J16" s="23"/>
      <c r="K16" s="23"/>
      <c r="L16" s="23"/>
      <c r="M16" s="23"/>
      <c r="N16" s="24"/>
      <c r="O16" s="23"/>
      <c r="P16" s="23"/>
    </row>
    <row r="17" spans="1:27" x14ac:dyDescent="0.25">
      <c r="A17" s="10" t="s">
        <v>24</v>
      </c>
      <c r="B17" s="10" t="s">
        <v>25</v>
      </c>
      <c r="C17" s="10"/>
      <c r="D17" s="10" t="s">
        <v>26</v>
      </c>
      <c r="E17" s="10"/>
      <c r="F17" s="25" t="s">
        <v>27</v>
      </c>
      <c r="Z17" s="26"/>
      <c r="AA17" s="2"/>
    </row>
    <row r="18" spans="1:27" x14ac:dyDescent="0.25">
      <c r="A18" s="18">
        <v>-149.12</v>
      </c>
      <c r="B18" s="18">
        <v>21.93</v>
      </c>
      <c r="C18" s="10"/>
      <c r="D18" s="10">
        <f>A18-B18-D9-C11</f>
        <v>2.8230368871103337</v>
      </c>
      <c r="E18" s="10" t="s">
        <v>15</v>
      </c>
      <c r="F18" s="10">
        <f>10*LOG(F20)</f>
        <v>2.4125284116143311</v>
      </c>
      <c r="Z18" s="1"/>
    </row>
    <row r="19" spans="1:27" x14ac:dyDescent="0.25">
      <c r="A19" s="26"/>
      <c r="B19" s="10" t="s">
        <v>28</v>
      </c>
      <c r="C19" s="10"/>
      <c r="D19" s="10" t="s">
        <v>28</v>
      </c>
      <c r="E19" s="10"/>
      <c r="F19" s="10" t="s">
        <v>28</v>
      </c>
      <c r="Z19" s="1"/>
    </row>
    <row r="20" spans="1:27" x14ac:dyDescent="0.25">
      <c r="A20" s="26"/>
      <c r="B20" s="10">
        <f>10^(B18/10)</f>
        <v>155.95525028269549</v>
      </c>
      <c r="C20" s="10"/>
      <c r="D20" s="10">
        <f>10^(D18/10)</f>
        <v>1.9155949731598374</v>
      </c>
      <c r="E20" s="10"/>
      <c r="F20" s="10">
        <f>D20-(F9-1)/B20</f>
        <v>1.7428212281994646</v>
      </c>
      <c r="Z20" s="1"/>
    </row>
    <row r="21" spans="1:27" x14ac:dyDescent="0.25">
      <c r="Z21" s="26"/>
    </row>
    <row r="24" spans="1:27" x14ac:dyDescent="0.25">
      <c r="A24" s="6"/>
    </row>
    <row r="25" spans="1:27" x14ac:dyDescent="0.25">
      <c r="A25" s="10"/>
      <c r="B25" s="10"/>
      <c r="C25" s="10"/>
      <c r="D25" s="10"/>
      <c r="E25" s="10"/>
      <c r="F25" s="16"/>
    </row>
    <row r="26" spans="1:27" x14ac:dyDescent="0.25">
      <c r="A26" s="10"/>
      <c r="B26" s="10"/>
      <c r="C26" s="10"/>
      <c r="D26" s="10"/>
      <c r="E26" s="10"/>
      <c r="F26" s="16"/>
    </row>
    <row r="27" spans="1:27" s="6" customFormat="1" x14ac:dyDescent="0.25">
      <c r="A27" s="10"/>
      <c r="B27" s="10"/>
      <c r="C27" s="10"/>
      <c r="D27" s="10"/>
      <c r="E27" s="10"/>
      <c r="F27" s="1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6"/>
      <c r="AA27" s="2"/>
    </row>
    <row r="28" spans="1:27" s="6" customFormat="1" x14ac:dyDescent="0.25">
      <c r="A28" s="10"/>
      <c r="B28" s="10"/>
      <c r="C28" s="10"/>
      <c r="D28" s="10"/>
      <c r="E28" s="10"/>
      <c r="F28" s="1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/>
    </row>
    <row r="29" spans="1:27" s="6" customFormat="1" x14ac:dyDescent="0.25">
      <c r="A29" s="26"/>
      <c r="B29" s="10"/>
      <c r="C29" s="10"/>
      <c r="D29" s="10"/>
      <c r="E29" s="10"/>
      <c r="F29" s="1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"/>
    </row>
    <row r="30" spans="1:27" s="6" customFormat="1" ht="15.5" x14ac:dyDescent="0.35">
      <c r="A30" s="10"/>
      <c r="B30" s="10"/>
      <c r="C30" s="10"/>
      <c r="D30" s="10"/>
      <c r="E30" s="10"/>
      <c r="F30" s="22"/>
      <c r="G30" s="2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"/>
    </row>
    <row r="31" spans="1:27" s="6" customFormat="1" x14ac:dyDescent="0.25">
      <c r="A31" s="10"/>
      <c r="B31" s="10"/>
      <c r="C31" s="10"/>
      <c r="D31" s="10"/>
      <c r="E31" s="10"/>
      <c r="F31" s="1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6"/>
    </row>
    <row r="32" spans="1:27" s="6" customFormat="1" x14ac:dyDescent="0.25">
      <c r="A32" s="10"/>
      <c r="B32" s="10"/>
      <c r="C32" s="10"/>
      <c r="D32" s="10"/>
      <c r="E32" s="10"/>
      <c r="F32" s="1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s="6" customFormat="1" x14ac:dyDescent="0.25">
      <c r="A33" s="26"/>
      <c r="B33" s="10"/>
      <c r="C33" s="10"/>
      <c r="D33" s="10"/>
      <c r="E33" s="10"/>
      <c r="F33" s="1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s="6" customFormat="1" x14ac:dyDescent="0.25">
      <c r="A34" s="26"/>
      <c r="B34" s="10"/>
      <c r="C34" s="10"/>
      <c r="D34" s="10"/>
      <c r="E34" s="10"/>
      <c r="F34" s="1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6" customForma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s="6" customForma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s="6" customForma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s="6" customForma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6" customForma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</sheetData>
  <mergeCells count="1">
    <mergeCell ref="I6:K6"/>
  </mergeCells>
  <pageMargins left="0.75" right="0.75" top="1" bottom="1" header="0.5" footer="0.5"/>
  <pageSetup paperSize="17" scale="86" orientation="landscape" r:id="rId1"/>
  <headerFooter alignWithMargins="0">
    <oddHeader>&amp;C&amp;14&amp;A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zoomScale="90" zoomScaleNormal="90" workbookViewId="0">
      <selection activeCell="K21" sqref="K21"/>
    </sheetView>
  </sheetViews>
  <sheetFormatPr defaultColWidth="9.1796875" defaultRowHeight="12.5" x14ac:dyDescent="0.25"/>
  <cols>
    <col min="1" max="1" width="42.1796875" style="6" bestFit="1" customWidth="1"/>
    <col min="2" max="2" width="13.1796875" style="6" customWidth="1"/>
    <col min="3" max="3" width="13.453125" style="6" bestFit="1" customWidth="1"/>
    <col min="4" max="4" width="24.7265625" style="6" customWidth="1"/>
    <col min="5" max="5" width="34.1796875" style="6" bestFit="1" customWidth="1"/>
    <col min="6" max="6" width="15.1796875" style="7" customWidth="1"/>
    <col min="7" max="7" width="13.1796875" style="7" customWidth="1"/>
    <col min="8" max="9" width="9.1796875" style="7"/>
    <col min="10" max="10" width="12.453125" style="7" bestFit="1" customWidth="1"/>
    <col min="11" max="11" width="9.1796875" style="7"/>
    <col min="12" max="12" width="25.26953125" style="7" customWidth="1"/>
    <col min="13" max="13" width="12.453125" style="7" bestFit="1" customWidth="1"/>
    <col min="14" max="16384" width="9.1796875" style="7"/>
  </cols>
  <sheetData>
    <row r="1" spans="1:12" x14ac:dyDescent="0.25">
      <c r="E1" s="3" t="s">
        <v>0</v>
      </c>
      <c r="L1" s="15"/>
    </row>
    <row r="2" spans="1:12" ht="25" x14ac:dyDescent="0.25">
      <c r="A2" s="46"/>
      <c r="B2" s="46"/>
      <c r="C2" s="46"/>
      <c r="D2" s="46"/>
      <c r="L2" s="27" t="s">
        <v>6</v>
      </c>
    </row>
    <row r="3" spans="1:12" ht="37.5" x14ac:dyDescent="0.25">
      <c r="A3" s="6" t="s">
        <v>29</v>
      </c>
      <c r="E3" s="6" t="s">
        <v>30</v>
      </c>
      <c r="F3" s="28" t="s">
        <v>31</v>
      </c>
      <c r="G3" s="7" t="s">
        <v>32</v>
      </c>
      <c r="H3" s="7" t="s">
        <v>33</v>
      </c>
      <c r="I3" s="6" t="s">
        <v>34</v>
      </c>
      <c r="J3" s="7" t="s">
        <v>35</v>
      </c>
      <c r="K3" s="7" t="s">
        <v>36</v>
      </c>
      <c r="L3" s="17" t="s">
        <v>13</v>
      </c>
    </row>
    <row r="4" spans="1:12" x14ac:dyDescent="0.25">
      <c r="A4" s="6" t="s">
        <v>37</v>
      </c>
      <c r="E4" s="3">
        <v>13.51</v>
      </c>
      <c r="F4" s="3">
        <v>1.3806580000000001E-23</v>
      </c>
      <c r="G4" s="3">
        <v>0</v>
      </c>
      <c r="H4" s="3">
        <v>17</v>
      </c>
      <c r="I4" s="6">
        <f>H4+273</f>
        <v>290</v>
      </c>
      <c r="J4" s="7">
        <f>Boltz*Kelv</f>
        <v>4.0039082000000007E-21</v>
      </c>
      <c r="K4" s="3">
        <v>1</v>
      </c>
      <c r="L4" s="3">
        <v>1</v>
      </c>
    </row>
    <row r="5" spans="1:12" x14ac:dyDescent="0.25">
      <c r="A5" s="29">
        <f>((Ts_on_corrected-H19*Kelv)/(H19-1))</f>
        <v>8204.6949135504565</v>
      </c>
      <c r="E5" s="6" t="s">
        <v>28</v>
      </c>
      <c r="G5" s="6" t="s">
        <v>28</v>
      </c>
      <c r="J5" s="7" t="s">
        <v>14</v>
      </c>
      <c r="K5" s="6">
        <f>K4*L4</f>
        <v>1</v>
      </c>
    </row>
    <row r="6" spans="1:12" x14ac:dyDescent="0.25">
      <c r="A6" s="21" t="s">
        <v>38</v>
      </c>
      <c r="B6" s="10">
        <f>1+T_instrument/Kelv</f>
        <v>29.292051426036057</v>
      </c>
      <c r="E6" s="6">
        <f>10^(E4/10)</f>
        <v>22.438819237827669</v>
      </c>
      <c r="G6" s="6">
        <f>10^(G4/10)</f>
        <v>1</v>
      </c>
      <c r="J6" s="10">
        <f>10*LOG(J4/0.001)</f>
        <v>-173.97515888408122</v>
      </c>
    </row>
    <row r="7" spans="1:12" x14ac:dyDescent="0.25">
      <c r="A7" s="6" t="s">
        <v>15</v>
      </c>
      <c r="B7" s="10">
        <f>10*LOG(B6)</f>
        <v>14.667497879263756</v>
      </c>
    </row>
    <row r="8" spans="1:12" x14ac:dyDescent="0.25">
      <c r="A8" s="30" t="s">
        <v>39</v>
      </c>
      <c r="E8" s="31" t="s">
        <v>40</v>
      </c>
      <c r="H8" s="7" t="s">
        <v>41</v>
      </c>
    </row>
    <row r="9" spans="1:12" x14ac:dyDescent="0.25">
      <c r="A9" s="2"/>
      <c r="E9" s="6" t="s">
        <v>42</v>
      </c>
      <c r="H9" s="7" t="s">
        <v>33</v>
      </c>
      <c r="I9" s="6" t="s">
        <v>34</v>
      </c>
    </row>
    <row r="10" spans="1:12" x14ac:dyDescent="0.25">
      <c r="A10" s="6" t="s">
        <v>43</v>
      </c>
      <c r="E10" s="6" t="s">
        <v>44</v>
      </c>
      <c r="F10" s="32">
        <f>Kelv*(1+GL*E6)</f>
        <v>6797.257578970024</v>
      </c>
      <c r="H10" s="3">
        <v>17</v>
      </c>
      <c r="I10" s="6">
        <f>H10+273</f>
        <v>290</v>
      </c>
    </row>
    <row r="11" spans="1:12" x14ac:dyDescent="0.25">
      <c r="A11" s="6" t="s">
        <v>45</v>
      </c>
      <c r="F11" s="10"/>
      <c r="J11" s="6"/>
    </row>
    <row r="12" spans="1:12" x14ac:dyDescent="0.25">
      <c r="A12" s="29">
        <f>((Ts_on_corrected-H22*Kelv)/(H22-1))</f>
        <v>990.61589195679323</v>
      </c>
      <c r="E12" s="6" t="s">
        <v>46</v>
      </c>
      <c r="F12" s="10">
        <f>E6+(Kelv-I10)/Kelv</f>
        <v>22.438819237827669</v>
      </c>
    </row>
    <row r="13" spans="1:12" x14ac:dyDescent="0.25">
      <c r="A13" s="21" t="s">
        <v>47</v>
      </c>
      <c r="B13" s="10">
        <f>1+T_12/Kelv</f>
        <v>4.4159168688165282</v>
      </c>
      <c r="E13" s="6" t="s">
        <v>15</v>
      </c>
      <c r="F13" s="10">
        <f>10*LOG(F12)</f>
        <v>13.510000000000002</v>
      </c>
    </row>
    <row r="14" spans="1:12" x14ac:dyDescent="0.25">
      <c r="A14" s="6" t="s">
        <v>15</v>
      </c>
      <c r="B14" s="10">
        <f>10*LOG(B13)</f>
        <v>6.4502088905219246</v>
      </c>
      <c r="E14" s="6" t="s">
        <v>48</v>
      </c>
      <c r="F14" s="25">
        <f>Kelv*(1+GL*F12)</f>
        <v>6797.257578970024</v>
      </c>
    </row>
    <row r="15" spans="1:12" x14ac:dyDescent="0.25">
      <c r="A15" s="10"/>
      <c r="E15" s="6" t="s">
        <v>49</v>
      </c>
      <c r="F15" s="10"/>
    </row>
    <row r="16" spans="1:12" x14ac:dyDescent="0.25">
      <c r="A16" s="21"/>
      <c r="B16" s="10"/>
      <c r="F16" s="10"/>
    </row>
    <row r="17" spans="1:10" x14ac:dyDescent="0.25">
      <c r="B17" s="10"/>
      <c r="F17" s="6"/>
      <c r="G17" s="6"/>
    </row>
    <row r="18" spans="1:10" ht="13" x14ac:dyDescent="0.3">
      <c r="A18" s="33"/>
      <c r="D18" s="31"/>
      <c r="E18" s="3" t="s">
        <v>50</v>
      </c>
      <c r="F18" s="6" t="s">
        <v>19</v>
      </c>
      <c r="G18" s="6" t="s">
        <v>18</v>
      </c>
      <c r="H18" s="6" t="s">
        <v>51</v>
      </c>
      <c r="I18" s="6" t="s">
        <v>52</v>
      </c>
    </row>
    <row r="19" spans="1:10" x14ac:dyDescent="0.25">
      <c r="A19" s="33"/>
      <c r="B19" s="34"/>
      <c r="D19" s="31"/>
      <c r="E19" s="35" t="s">
        <v>53</v>
      </c>
      <c r="F19" s="19">
        <v>-159.63</v>
      </c>
      <c r="G19" s="6">
        <f>0.001 * 10^(F19/10)</f>
        <v>1.0889300933334309E-19</v>
      </c>
      <c r="H19" s="10">
        <f>G20/G19</f>
        <v>1.7660378206861629</v>
      </c>
      <c r="I19" s="6">
        <f>10*LOG(H19)</f>
        <v>2.4699999999999962</v>
      </c>
    </row>
    <row r="20" spans="1:10" x14ac:dyDescent="0.25">
      <c r="C20" s="10"/>
      <c r="D20" s="16"/>
      <c r="E20" s="35" t="s">
        <v>54</v>
      </c>
      <c r="F20" s="19">
        <v>-157.16</v>
      </c>
      <c r="G20" s="6">
        <f>0.001 * 10^(F20/10)</f>
        <v>1.9230917289101522E-19</v>
      </c>
    </row>
    <row r="21" spans="1:10" ht="25" x14ac:dyDescent="0.25">
      <c r="A21" s="36" t="s">
        <v>55</v>
      </c>
      <c r="C21" s="10"/>
      <c r="D21" s="10"/>
      <c r="E21" s="3" t="s">
        <v>56</v>
      </c>
      <c r="F21" s="6"/>
      <c r="G21" s="6"/>
    </row>
    <row r="22" spans="1:10" x14ac:dyDescent="0.25">
      <c r="A22" s="6" t="s">
        <v>57</v>
      </c>
      <c r="B22" s="10">
        <f>(Ts_on_corrected+T_instrument)/Kelv</f>
        <v>51.730870663863726</v>
      </c>
      <c r="D22" s="10"/>
      <c r="E22" s="6" t="s">
        <v>58</v>
      </c>
      <c r="F22" s="3">
        <v>-152.94999999999999</v>
      </c>
      <c r="G22" s="6">
        <f>0.001 * 10^(F22/10)</f>
        <v>5.0699070827470644E-19</v>
      </c>
      <c r="H22" s="10">
        <f>G23/G22</f>
        <v>6.081350012787107</v>
      </c>
      <c r="I22" s="6">
        <f>10*LOG(H22)</f>
        <v>7.8399999999999483</v>
      </c>
    </row>
    <row r="23" spans="1:10" x14ac:dyDescent="0.25">
      <c r="A23" s="6" t="s">
        <v>59</v>
      </c>
      <c r="B23" s="6">
        <f>Boltz*Kelv*BW*B22</f>
        <v>2.0712565724418346E-19</v>
      </c>
      <c r="C23" s="37" t="s">
        <v>60</v>
      </c>
      <c r="E23" s="6" t="s">
        <v>61</v>
      </c>
      <c r="F23" s="3">
        <v>-145.11000000000001</v>
      </c>
      <c r="G23" s="6">
        <f>0.001 * 10^(F23/10)</f>
        <v>3.0831879502493307E-18</v>
      </c>
    </row>
    <row r="24" spans="1:10" x14ac:dyDescent="0.25">
      <c r="A24" s="6" t="s">
        <v>19</v>
      </c>
      <c r="B24" s="10">
        <f>10*LOG(B23/0.001)</f>
        <v>-156.83766100481748</v>
      </c>
      <c r="C24" s="2">
        <f>F20</f>
        <v>-157.16</v>
      </c>
      <c r="D24" s="10">
        <f>B24-C24</f>
        <v>0.32233899518251974</v>
      </c>
      <c r="E24" s="38" t="s">
        <v>62</v>
      </c>
      <c r="F24" s="26"/>
    </row>
    <row r="25" spans="1:10" ht="25" x14ac:dyDescent="0.25">
      <c r="A25" s="30" t="s">
        <v>39</v>
      </c>
      <c r="B25" s="10"/>
      <c r="C25" s="21"/>
      <c r="E25" s="33" t="s">
        <v>63</v>
      </c>
      <c r="F25" s="10">
        <f>(G23-G22)/(G20-G19)</f>
        <v>30.883669688231311</v>
      </c>
    </row>
    <row r="26" spans="1:10" x14ac:dyDescent="0.25">
      <c r="A26" s="6" t="s">
        <v>64</v>
      </c>
      <c r="B26" s="10">
        <f>1+T_instrument/Kelv</f>
        <v>29.292051426036057</v>
      </c>
      <c r="C26" s="10"/>
      <c r="E26" s="6" t="s">
        <v>25</v>
      </c>
      <c r="F26" s="39">
        <f>10*LOG(F25)</f>
        <v>14.89728898874186</v>
      </c>
    </row>
    <row r="27" spans="1:10" x14ac:dyDescent="0.25">
      <c r="A27" s="6" t="s">
        <v>65</v>
      </c>
      <c r="B27" s="6">
        <f>Boltz*Kelv*BW*B26</f>
        <v>1.1728268489952748E-19</v>
      </c>
      <c r="C27" s="37" t="s">
        <v>60</v>
      </c>
    </row>
    <row r="28" spans="1:10" x14ac:dyDescent="0.25">
      <c r="A28" s="6" t="s">
        <v>19</v>
      </c>
      <c r="B28" s="10">
        <f>10*LOG(B27/0.001)</f>
        <v>-159.30766100481748</v>
      </c>
      <c r="C28" s="2">
        <f>F19</f>
        <v>-159.63</v>
      </c>
      <c r="D28" s="10">
        <f>B28-C28</f>
        <v>0.32233899518251974</v>
      </c>
      <c r="E28" s="6" t="s">
        <v>66</v>
      </c>
      <c r="F28" s="26"/>
    </row>
    <row r="29" spans="1:10" x14ac:dyDescent="0.25">
      <c r="E29" s="6" t="s">
        <v>67</v>
      </c>
      <c r="F29" s="10">
        <f>B13-(B6-1)/F25</f>
        <v>3.4998323584056048</v>
      </c>
    </row>
    <row r="30" spans="1:10" x14ac:dyDescent="0.25">
      <c r="E30" s="6" t="s">
        <v>15</v>
      </c>
      <c r="F30" s="40">
        <f>10*LOG(F29)</f>
        <v>5.4404724218940395</v>
      </c>
    </row>
    <row r="31" spans="1:10" x14ac:dyDescent="0.25">
      <c r="E31" s="6" t="s">
        <v>68</v>
      </c>
      <c r="J31" s="7" t="s">
        <v>69</v>
      </c>
    </row>
    <row r="32" spans="1:10" x14ac:dyDescent="0.25">
      <c r="E32" s="6" t="s">
        <v>70</v>
      </c>
      <c r="F32" s="10">
        <f>T_12-T_instrument/F25</f>
        <v>724.95138393762545</v>
      </c>
      <c r="H32" s="7" t="s">
        <v>71</v>
      </c>
      <c r="I32" s="7" t="s">
        <v>72</v>
      </c>
    </row>
    <row r="33" spans="2:10" x14ac:dyDescent="0.25">
      <c r="E33" s="6" t="s">
        <v>73</v>
      </c>
      <c r="F33" s="10">
        <f>1+F32/Kelv</f>
        <v>3.4998323584056048</v>
      </c>
      <c r="H33" s="7" t="s">
        <v>74</v>
      </c>
    </row>
    <row r="34" spans="2:10" x14ac:dyDescent="0.25">
      <c r="B34" s="10"/>
      <c r="E34" s="6" t="s">
        <v>15</v>
      </c>
      <c r="F34" s="40">
        <f>10*LOG(F33)</f>
        <v>5.4404724218940395</v>
      </c>
      <c r="H34" s="31" t="s">
        <v>75</v>
      </c>
      <c r="I34" s="41" t="s">
        <v>76</v>
      </c>
      <c r="J34" s="7" t="s">
        <v>77</v>
      </c>
    </row>
    <row r="35" spans="2:10" x14ac:dyDescent="0.25">
      <c r="H35" s="6">
        <v>15.1</v>
      </c>
      <c r="I35" s="6">
        <v>21.93</v>
      </c>
      <c r="J35" s="7" t="s">
        <v>78</v>
      </c>
    </row>
    <row r="36" spans="2:10" x14ac:dyDescent="0.25">
      <c r="H36" s="3">
        <v>-152.94999999999999</v>
      </c>
      <c r="I36" s="3">
        <v>-149.22999999999999</v>
      </c>
      <c r="J36" s="7" t="s">
        <v>79</v>
      </c>
    </row>
    <row r="37" spans="2:10" x14ac:dyDescent="0.25">
      <c r="H37" s="3">
        <v>-145.11000000000001</v>
      </c>
      <c r="I37" s="3">
        <v>-138.69</v>
      </c>
      <c r="J37" s="7" t="s">
        <v>80</v>
      </c>
    </row>
  </sheetData>
  <mergeCells count="1">
    <mergeCell ref="A2:D2"/>
  </mergeCell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zoomScale="90" zoomScaleNormal="90" workbookViewId="0">
      <selection activeCell="D11" sqref="D11"/>
    </sheetView>
  </sheetViews>
  <sheetFormatPr defaultColWidth="9.1796875" defaultRowHeight="12.5" x14ac:dyDescent="0.25"/>
  <cols>
    <col min="1" max="1" width="42.1796875" style="6" bestFit="1" customWidth="1"/>
    <col min="2" max="2" width="13.1796875" style="6" customWidth="1"/>
    <col min="3" max="3" width="13.453125" style="6" bestFit="1" customWidth="1"/>
    <col min="4" max="4" width="24.7265625" style="6" customWidth="1"/>
    <col min="5" max="5" width="34.1796875" style="6" bestFit="1" customWidth="1"/>
    <col min="6" max="6" width="15.1796875" style="7" customWidth="1"/>
    <col min="7" max="7" width="13.1796875" style="7" customWidth="1"/>
    <col min="8" max="9" width="9.1796875" style="7"/>
    <col min="10" max="10" width="12.453125" style="7" bestFit="1" customWidth="1"/>
    <col min="11" max="11" width="9.1796875" style="7"/>
    <col min="12" max="12" width="25.26953125" style="7" customWidth="1"/>
    <col min="13" max="13" width="12.453125" style="7" bestFit="1" customWidth="1"/>
    <col min="14" max="16384" width="9.1796875" style="7"/>
  </cols>
  <sheetData>
    <row r="1" spans="1:12" x14ac:dyDescent="0.25">
      <c r="E1" s="3" t="s">
        <v>0</v>
      </c>
      <c r="L1" s="15"/>
    </row>
    <row r="2" spans="1:12" ht="25" x14ac:dyDescent="0.25">
      <c r="A2" s="46" t="s">
        <v>96</v>
      </c>
      <c r="B2" s="46"/>
      <c r="C2" s="46"/>
      <c r="D2" s="46"/>
      <c r="L2" s="27" t="s">
        <v>6</v>
      </c>
    </row>
    <row r="3" spans="1:12" ht="37.5" x14ac:dyDescent="0.25">
      <c r="A3" s="6" t="s">
        <v>29</v>
      </c>
      <c r="E3" s="6" t="s">
        <v>30</v>
      </c>
      <c r="F3" s="28" t="s">
        <v>31</v>
      </c>
      <c r="G3" s="7" t="s">
        <v>32</v>
      </c>
      <c r="H3" s="7" t="s">
        <v>33</v>
      </c>
      <c r="I3" s="6" t="s">
        <v>34</v>
      </c>
      <c r="J3" s="7" t="s">
        <v>35</v>
      </c>
      <c r="K3" s="7" t="s">
        <v>36</v>
      </c>
      <c r="L3" s="17" t="s">
        <v>13</v>
      </c>
    </row>
    <row r="4" spans="1:12" x14ac:dyDescent="0.25">
      <c r="A4" s="6" t="s">
        <v>37</v>
      </c>
      <c r="E4" s="3">
        <v>13.51</v>
      </c>
      <c r="F4" s="3">
        <v>1.3806580000000001E-23</v>
      </c>
      <c r="G4" s="3">
        <v>0</v>
      </c>
      <c r="H4" s="3">
        <v>17</v>
      </c>
      <c r="I4" s="6">
        <f>H4+273</f>
        <v>290</v>
      </c>
      <c r="J4" s="7">
        <f>Boltz*Kelv</f>
        <v>4.0039082000000007E-21</v>
      </c>
      <c r="K4" s="3">
        <v>1</v>
      </c>
      <c r="L4" s="3">
        <v>1</v>
      </c>
    </row>
    <row r="5" spans="1:12" x14ac:dyDescent="0.25">
      <c r="A5" s="29">
        <f>((Ts_on_corrected-H19*Kelv)/(H19-1))</f>
        <v>8195.6875253854432</v>
      </c>
      <c r="E5" s="6" t="s">
        <v>28</v>
      </c>
      <c r="G5" s="6" t="s">
        <v>28</v>
      </c>
      <c r="J5" s="7" t="s">
        <v>14</v>
      </c>
      <c r="K5" s="6">
        <f>K4*L4</f>
        <v>1</v>
      </c>
    </row>
    <row r="6" spans="1:12" x14ac:dyDescent="0.25">
      <c r="A6" s="21" t="s">
        <v>38</v>
      </c>
      <c r="B6" s="10">
        <f>1+T_instrument/K_elev</f>
        <v>28.604201836933122</v>
      </c>
      <c r="E6" s="6">
        <f>10^(E4/10)</f>
        <v>22.438819237827669</v>
      </c>
      <c r="G6" s="6">
        <f>10^(G4/10)</f>
        <v>1</v>
      </c>
      <c r="J6" s="10">
        <f>10*LOG(J4/0.001)</f>
        <v>-173.97515888408122</v>
      </c>
    </row>
    <row r="7" spans="1:12" x14ac:dyDescent="0.25">
      <c r="A7" s="6" t="s">
        <v>15</v>
      </c>
      <c r="B7" s="10">
        <f>10*LOG(B6)</f>
        <v>14.564298338478224</v>
      </c>
    </row>
    <row r="8" spans="1:12" x14ac:dyDescent="0.25">
      <c r="A8" s="30" t="s">
        <v>81</v>
      </c>
      <c r="E8" s="31" t="s">
        <v>40</v>
      </c>
      <c r="H8" s="7" t="s">
        <v>41</v>
      </c>
    </row>
    <row r="9" spans="1:12" x14ac:dyDescent="0.25">
      <c r="A9" s="2"/>
      <c r="E9" s="6" t="s">
        <v>42</v>
      </c>
      <c r="H9" s="7" t="s">
        <v>33</v>
      </c>
      <c r="I9" s="6" t="s">
        <v>34</v>
      </c>
    </row>
    <row r="10" spans="1:12" x14ac:dyDescent="0.25">
      <c r="A10" s="6" t="s">
        <v>43</v>
      </c>
      <c r="E10" s="6" t="s">
        <v>44</v>
      </c>
      <c r="F10" s="32">
        <f>Kelv*(1+GL*E6)</f>
        <v>6797.257578970024</v>
      </c>
      <c r="H10" s="3">
        <v>23.9</v>
      </c>
      <c r="I10" s="6">
        <f>H10+273</f>
        <v>296.89999999999998</v>
      </c>
    </row>
    <row r="11" spans="1:12" x14ac:dyDescent="0.25">
      <c r="A11" s="6" t="s">
        <v>45</v>
      </c>
      <c r="F11" s="10"/>
      <c r="J11" s="6"/>
    </row>
    <row r="12" spans="1:12" x14ac:dyDescent="0.25">
      <c r="A12" s="29">
        <f>((Ts_on_corrected-H22*Kelv)/(H22-1))</f>
        <v>989.25798510474885</v>
      </c>
      <c r="E12" s="6" t="s">
        <v>46</v>
      </c>
      <c r="F12" s="10">
        <f>E6+(Kelv-K_elev)/Kelv</f>
        <v>22.415026134379392</v>
      </c>
    </row>
    <row r="13" spans="1:12" x14ac:dyDescent="0.25">
      <c r="A13" s="21" t="s">
        <v>47</v>
      </c>
      <c r="B13" s="10">
        <f>1+T_12/K_elev</f>
        <v>4.3319568376717719</v>
      </c>
      <c r="E13" s="6" t="s">
        <v>15</v>
      </c>
      <c r="F13" s="10">
        <f>10*LOG(F12)</f>
        <v>13.505392495596132</v>
      </c>
    </row>
    <row r="14" spans="1:12" x14ac:dyDescent="0.25">
      <c r="A14" s="6" t="s">
        <v>15</v>
      </c>
      <c r="B14" s="10">
        <f>10*LOG(B13)</f>
        <v>6.3668412079391965</v>
      </c>
      <c r="E14" s="6" t="s">
        <v>48</v>
      </c>
      <c r="F14" s="25">
        <f>Kelv*(1+GL*ENR_corrected_for_temp)</f>
        <v>6790.3575789700235</v>
      </c>
    </row>
    <row r="15" spans="1:12" x14ac:dyDescent="0.25">
      <c r="A15" s="10"/>
      <c r="E15" s="6" t="s">
        <v>82</v>
      </c>
      <c r="F15" s="10"/>
    </row>
    <row r="16" spans="1:12" x14ac:dyDescent="0.25">
      <c r="A16" s="21"/>
      <c r="B16" s="10"/>
      <c r="E16" s="6" t="s">
        <v>49</v>
      </c>
      <c r="F16" s="10"/>
    </row>
    <row r="17" spans="1:10" x14ac:dyDescent="0.25">
      <c r="B17" s="10"/>
      <c r="F17" s="6"/>
      <c r="G17" s="6"/>
    </row>
    <row r="18" spans="1:10" ht="13" x14ac:dyDescent="0.3">
      <c r="A18" s="33"/>
      <c r="D18" s="31"/>
      <c r="E18" s="3" t="s">
        <v>50</v>
      </c>
      <c r="F18" s="6" t="s">
        <v>19</v>
      </c>
      <c r="G18" s="6" t="s">
        <v>18</v>
      </c>
      <c r="H18" s="6" t="s">
        <v>51</v>
      </c>
      <c r="I18" s="6" t="s">
        <v>52</v>
      </c>
    </row>
    <row r="19" spans="1:10" x14ac:dyDescent="0.25">
      <c r="A19" s="33"/>
      <c r="B19" s="34"/>
      <c r="D19" s="31"/>
      <c r="E19" s="35" t="s">
        <v>53</v>
      </c>
      <c r="F19" s="19">
        <v>-159.63</v>
      </c>
      <c r="G19" s="6">
        <f>0.001 * 10^(F19/10)</f>
        <v>1.0889300933334309E-19</v>
      </c>
      <c r="H19" s="10">
        <f>G20/G19</f>
        <v>1.7660378206861629</v>
      </c>
      <c r="I19" s="6">
        <f>10*LOG(H19)</f>
        <v>2.4699999999999962</v>
      </c>
    </row>
    <row r="20" spans="1:10" x14ac:dyDescent="0.25">
      <c r="C20" s="10"/>
      <c r="D20" s="16"/>
      <c r="E20" s="35" t="s">
        <v>54</v>
      </c>
      <c r="F20" s="19">
        <v>-157.16</v>
      </c>
      <c r="G20" s="6">
        <f>0.001 * 10^(F20/10)</f>
        <v>1.9230917289101522E-19</v>
      </c>
    </row>
    <row r="21" spans="1:10" ht="25" x14ac:dyDescent="0.25">
      <c r="A21" s="36" t="s">
        <v>55</v>
      </c>
      <c r="C21" s="10"/>
      <c r="D21" s="10"/>
      <c r="E21" s="3" t="s">
        <v>56</v>
      </c>
      <c r="F21" s="6"/>
      <c r="G21" s="6"/>
    </row>
    <row r="22" spans="1:10" x14ac:dyDescent="0.25">
      <c r="A22" s="6" t="s">
        <v>57</v>
      </c>
      <c r="B22" s="10">
        <f>(Ts_on_corrected+T_instrument)/K_elev</f>
        <v>50.475059293888407</v>
      </c>
      <c r="D22" s="10"/>
      <c r="E22" s="6" t="s">
        <v>58</v>
      </c>
      <c r="F22" s="3">
        <v>-152.94999999999999</v>
      </c>
      <c r="G22" s="6">
        <f>0.001 * 10^(F22/10)</f>
        <v>5.0699070827470644E-19</v>
      </c>
      <c r="H22" s="10">
        <f>G23/G22</f>
        <v>6.081350012787107</v>
      </c>
      <c r="I22" s="6">
        <f>10*LOG(H22)</f>
        <v>7.8399999999999483</v>
      </c>
    </row>
    <row r="23" spans="1:10" x14ac:dyDescent="0.25">
      <c r="A23" s="6" t="s">
        <v>59</v>
      </c>
      <c r="B23" s="6">
        <f>Boltz*K_elev*BW*B22</f>
        <v>2.0690603061689211E-19</v>
      </c>
      <c r="C23" s="37" t="s">
        <v>60</v>
      </c>
      <c r="E23" s="6" t="s">
        <v>61</v>
      </c>
      <c r="F23" s="3">
        <v>-145.11000000000001</v>
      </c>
      <c r="G23" s="6">
        <f>0.001 * 10^(F23/10)</f>
        <v>3.0831879502493307E-18</v>
      </c>
    </row>
    <row r="24" spans="1:10" x14ac:dyDescent="0.25">
      <c r="A24" s="6" t="s">
        <v>19</v>
      </c>
      <c r="B24" s="10">
        <f>10*LOG(B23/0.001)</f>
        <v>-156.84226850922136</v>
      </c>
      <c r="C24" s="2">
        <f>F20</f>
        <v>-157.16</v>
      </c>
      <c r="D24" s="10">
        <f>B24-C24</f>
        <v>0.31773149077864105</v>
      </c>
      <c r="E24" s="38" t="s">
        <v>62</v>
      </c>
      <c r="F24" s="26"/>
    </row>
    <row r="25" spans="1:10" ht="25" x14ac:dyDescent="0.25">
      <c r="A25" s="30" t="s">
        <v>81</v>
      </c>
      <c r="B25" s="10"/>
      <c r="C25" s="21"/>
      <c r="E25" s="33" t="s">
        <v>63</v>
      </c>
      <c r="F25" s="10">
        <f>(G23-G22)/(G20-G19)</f>
        <v>30.883669688231311</v>
      </c>
    </row>
    <row r="26" spans="1:10" x14ac:dyDescent="0.25">
      <c r="A26" s="6" t="s">
        <v>64</v>
      </c>
      <c r="B26" s="10">
        <f>1+T_instrument/K_elev</f>
        <v>28.604201836933122</v>
      </c>
      <c r="C26" s="10"/>
      <c r="E26" s="6" t="s">
        <v>25</v>
      </c>
      <c r="F26" s="10">
        <f>10*LOG(F25)</f>
        <v>14.89728898874186</v>
      </c>
    </row>
    <row r="27" spans="1:10" x14ac:dyDescent="0.25">
      <c r="A27" s="6" t="s">
        <v>65</v>
      </c>
      <c r="B27" s="6">
        <f>Boltz*K_elev*BW*B26</f>
        <v>1.1725358907623614E-19</v>
      </c>
      <c r="C27" s="37" t="s">
        <v>60</v>
      </c>
    </row>
    <row r="28" spans="1:10" x14ac:dyDescent="0.25">
      <c r="A28" s="6" t="s">
        <v>19</v>
      </c>
      <c r="B28" s="10">
        <f>10*LOG(B27/0.001)</f>
        <v>-159.30873854863211</v>
      </c>
      <c r="C28" s="2">
        <f>F19</f>
        <v>-159.63</v>
      </c>
      <c r="D28" s="10">
        <f>B28-C28</f>
        <v>0.32126145136788864</v>
      </c>
      <c r="E28" s="6" t="s">
        <v>66</v>
      </c>
      <c r="F28" s="26"/>
    </row>
    <row r="29" spans="1:10" x14ac:dyDescent="0.25">
      <c r="E29" s="6" t="s">
        <v>67</v>
      </c>
      <c r="F29" s="10">
        <f>B13-(B6-1)/F25</f>
        <v>3.4381446024161888</v>
      </c>
    </row>
    <row r="30" spans="1:10" x14ac:dyDescent="0.25">
      <c r="E30" s="6" t="s">
        <v>15</v>
      </c>
      <c r="F30" s="40">
        <f>10*LOG(F29)</f>
        <v>5.3632413841001316</v>
      </c>
    </row>
    <row r="31" spans="1:10" x14ac:dyDescent="0.25">
      <c r="E31" s="6" t="s">
        <v>68</v>
      </c>
      <c r="J31" s="7" t="s">
        <v>69</v>
      </c>
    </row>
    <row r="32" spans="1:10" x14ac:dyDescent="0.25">
      <c r="E32" s="6" t="s">
        <v>70</v>
      </c>
      <c r="F32" s="10">
        <f>T_12-T_instrument/F25</f>
        <v>723.88513245736635</v>
      </c>
      <c r="H32" s="7" t="s">
        <v>71</v>
      </c>
      <c r="I32" s="7" t="s">
        <v>72</v>
      </c>
    </row>
    <row r="33" spans="2:10" x14ac:dyDescent="0.25">
      <c r="E33" s="6" t="s">
        <v>73</v>
      </c>
      <c r="F33" s="10">
        <f>1+F32/K_elev</f>
        <v>3.4381446024161888</v>
      </c>
      <c r="H33" s="7" t="s">
        <v>74</v>
      </c>
    </row>
    <row r="34" spans="2:10" x14ac:dyDescent="0.25">
      <c r="B34" s="10"/>
      <c r="E34" s="6" t="s">
        <v>15</v>
      </c>
      <c r="F34" s="40">
        <f>10*LOG(F33)</f>
        <v>5.3632413841001316</v>
      </c>
      <c r="H34" s="31" t="s">
        <v>75</v>
      </c>
      <c r="I34" s="41" t="s">
        <v>76</v>
      </c>
      <c r="J34" s="7" t="s">
        <v>77</v>
      </c>
    </row>
    <row r="35" spans="2:10" x14ac:dyDescent="0.25">
      <c r="H35" s="6">
        <v>15.1</v>
      </c>
      <c r="I35" s="6">
        <v>21.93</v>
      </c>
      <c r="J35" s="7" t="s">
        <v>78</v>
      </c>
    </row>
    <row r="36" spans="2:10" x14ac:dyDescent="0.25">
      <c r="H36" s="3">
        <v>-152.94999999999999</v>
      </c>
      <c r="I36" s="3">
        <v>-149.22999999999999</v>
      </c>
      <c r="J36" s="7" t="s">
        <v>79</v>
      </c>
    </row>
    <row r="37" spans="2:10" x14ac:dyDescent="0.25">
      <c r="H37" s="3">
        <v>-145.11000000000001</v>
      </c>
      <c r="I37" s="3">
        <v>-138.69</v>
      </c>
      <c r="J37" s="7" t="s">
        <v>80</v>
      </c>
    </row>
  </sheetData>
  <mergeCells count="1">
    <mergeCell ref="A2:D2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workbookViewId="0">
      <selection activeCell="D20" sqref="D20"/>
    </sheetView>
  </sheetViews>
  <sheetFormatPr defaultColWidth="9.1796875" defaultRowHeight="12.5" x14ac:dyDescent="0.25"/>
  <cols>
    <col min="1" max="1" width="21.1796875" style="6" customWidth="1"/>
    <col min="2" max="2" width="22" style="6" customWidth="1"/>
    <col min="3" max="3" width="19.1796875" style="7" customWidth="1"/>
    <col min="4" max="4" width="13.81640625" style="42" customWidth="1"/>
    <col min="5" max="5" width="13.7265625" style="42" customWidth="1"/>
    <col min="6" max="6" width="30.453125" style="43" customWidth="1"/>
    <col min="7" max="16384" width="9.1796875" style="7"/>
  </cols>
  <sheetData>
    <row r="1" spans="1:6" x14ac:dyDescent="0.25">
      <c r="A1" s="6" t="s">
        <v>83</v>
      </c>
      <c r="B1" s="6" t="s">
        <v>84</v>
      </c>
      <c r="C1" s="7" t="s">
        <v>85</v>
      </c>
    </row>
    <row r="2" spans="1:6" x14ac:dyDescent="0.25">
      <c r="A2" s="6" t="s">
        <v>86</v>
      </c>
      <c r="B2" s="6" t="s">
        <v>87</v>
      </c>
      <c r="C2" s="6" t="s">
        <v>15</v>
      </c>
    </row>
    <row r="3" spans="1:6" x14ac:dyDescent="0.25">
      <c r="A3" s="3">
        <f>0.001/1000</f>
        <v>9.9999999999999995E-7</v>
      </c>
      <c r="B3" s="3">
        <f>0.01/1000</f>
        <v>1.0000000000000001E-5</v>
      </c>
      <c r="C3" s="6">
        <f>10*LOG(B/A)</f>
        <v>10</v>
      </c>
    </row>
    <row r="4" spans="1:6" x14ac:dyDescent="0.25">
      <c r="A4" s="31" t="s">
        <v>88</v>
      </c>
      <c r="B4" s="44" t="s">
        <v>89</v>
      </c>
    </row>
    <row r="5" spans="1:6" x14ac:dyDescent="0.25">
      <c r="A5" s="6" t="s">
        <v>90</v>
      </c>
      <c r="B5" s="6" t="s">
        <v>19</v>
      </c>
      <c r="D5" s="42" t="s">
        <v>91</v>
      </c>
      <c r="E5" s="42" t="s">
        <v>92</v>
      </c>
      <c r="F5" s="43" t="s">
        <v>93</v>
      </c>
    </row>
    <row r="6" spans="1:6" x14ac:dyDescent="0.25">
      <c r="A6" s="6">
        <f t="shared" ref="A6:A69" ca="1" si="0">RAND()*(B-A)+A</f>
        <v>1.4951340881143383E-6</v>
      </c>
      <c r="B6" s="6">
        <f t="shared" ref="B6:B69" ca="1" si="1">10*LOG(A6/0.001)</f>
        <v>-28.253198567597657</v>
      </c>
      <c r="D6" s="42">
        <f ca="1">AVERAGE(A6:A256)</f>
        <v>5.1893188951060833E-6</v>
      </c>
      <c r="E6" s="42">
        <f ca="1">AVERAGE(B6:B256)</f>
        <v>-23.595002665253464</v>
      </c>
    </row>
    <row r="7" spans="1:6" x14ac:dyDescent="0.25">
      <c r="A7" s="6">
        <f t="shared" ca="1" si="0"/>
        <v>8.6409280557901424E-6</v>
      </c>
      <c r="B7" s="6">
        <f t="shared" ca="1" si="1"/>
        <v>-20.634396107776396</v>
      </c>
      <c r="D7" s="42" t="s">
        <v>94</v>
      </c>
    </row>
    <row r="8" spans="1:6" x14ac:dyDescent="0.25">
      <c r="A8" s="6">
        <f t="shared" ca="1" si="0"/>
        <v>1.7432847506761907E-6</v>
      </c>
      <c r="B8" s="6">
        <f t="shared" ca="1" si="1"/>
        <v>-27.586316688010942</v>
      </c>
      <c r="D8" s="43" t="s">
        <v>19</v>
      </c>
      <c r="F8" s="43" t="s">
        <v>95</v>
      </c>
    </row>
    <row r="9" spans="1:6" x14ac:dyDescent="0.25">
      <c r="A9" s="6">
        <f t="shared" ca="1" si="0"/>
        <v>4.0842899506012047E-6</v>
      </c>
      <c r="B9" s="6">
        <f t="shared" ca="1" si="1"/>
        <v>-23.888834341962326</v>
      </c>
      <c r="D9" s="42">
        <f ca="1">10*LOG(D6/0.001)</f>
        <v>-22.848896401300106</v>
      </c>
      <c r="F9" s="43">
        <f ca="1">D9-E6</f>
        <v>0.746106263953358</v>
      </c>
    </row>
    <row r="10" spans="1:6" x14ac:dyDescent="0.25">
      <c r="A10" s="6">
        <f t="shared" ca="1" si="0"/>
        <v>1.8331933445543872E-6</v>
      </c>
      <c r="B10" s="6">
        <f t="shared" ca="1" si="1"/>
        <v>-27.367917281393126</v>
      </c>
    </row>
    <row r="11" spans="1:6" x14ac:dyDescent="0.25">
      <c r="A11" s="6">
        <f t="shared" ca="1" si="0"/>
        <v>5.6137126495953987E-6</v>
      </c>
      <c r="B11" s="6">
        <f t="shared" ca="1" si="1"/>
        <v>-22.507498214644912</v>
      </c>
    </row>
    <row r="12" spans="1:6" x14ac:dyDescent="0.25">
      <c r="A12" s="6">
        <f t="shared" ca="1" si="0"/>
        <v>2.4203700177905915E-6</v>
      </c>
      <c r="B12" s="6">
        <f t="shared" ca="1" si="1"/>
        <v>-26.161182355069002</v>
      </c>
    </row>
    <row r="13" spans="1:6" x14ac:dyDescent="0.25">
      <c r="A13" s="6">
        <f t="shared" ca="1" si="0"/>
        <v>7.2000675876289018E-6</v>
      </c>
      <c r="B13" s="6">
        <f t="shared" ca="1" si="1"/>
        <v>-21.426634267914388</v>
      </c>
    </row>
    <row r="14" spans="1:6" x14ac:dyDescent="0.25">
      <c r="A14" s="6">
        <f t="shared" ca="1" si="0"/>
        <v>2.0482262594475076E-6</v>
      </c>
      <c r="B14" s="6">
        <f t="shared" ca="1" si="1"/>
        <v>-26.886220702538456</v>
      </c>
    </row>
    <row r="15" spans="1:6" x14ac:dyDescent="0.25">
      <c r="A15" s="6">
        <f t="shared" ca="1" si="0"/>
        <v>1.0832417263148748E-6</v>
      </c>
      <c r="B15" s="6">
        <f t="shared" ca="1" si="1"/>
        <v>-29.652746193759945</v>
      </c>
    </row>
    <row r="16" spans="1:6" x14ac:dyDescent="0.25">
      <c r="A16" s="6">
        <f t="shared" ca="1" si="0"/>
        <v>1.2652735425963024E-6</v>
      </c>
      <c r="B16" s="6">
        <f t="shared" ca="1" si="1"/>
        <v>-28.978155731461918</v>
      </c>
    </row>
    <row r="17" spans="1:2" x14ac:dyDescent="0.25">
      <c r="A17" s="6">
        <f t="shared" ca="1" si="0"/>
        <v>6.3499711392720863E-6</v>
      </c>
      <c r="B17" s="6">
        <f t="shared" ca="1" si="1"/>
        <v>-21.972282485794196</v>
      </c>
    </row>
    <row r="18" spans="1:2" x14ac:dyDescent="0.25">
      <c r="A18" s="6">
        <f t="shared" ca="1" si="0"/>
        <v>5.2269127759916081E-6</v>
      </c>
      <c r="B18" s="6">
        <f t="shared" ca="1" si="1"/>
        <v>-22.817547471227584</v>
      </c>
    </row>
    <row r="19" spans="1:2" x14ac:dyDescent="0.25">
      <c r="A19" s="6">
        <f t="shared" ca="1" si="0"/>
        <v>9.5650509347083798E-6</v>
      </c>
      <c r="B19" s="6">
        <f t="shared" ca="1" si="1"/>
        <v>-20.193127129755368</v>
      </c>
    </row>
    <row r="20" spans="1:2" x14ac:dyDescent="0.25">
      <c r="A20" s="6">
        <f t="shared" ca="1" si="0"/>
        <v>2.0242708004477444E-6</v>
      </c>
      <c r="B20" s="6">
        <f t="shared" ca="1" si="1"/>
        <v>-26.937313894245069</v>
      </c>
    </row>
    <row r="21" spans="1:2" x14ac:dyDescent="0.25">
      <c r="A21" s="6">
        <f t="shared" ca="1" si="0"/>
        <v>5.5696053400453242E-6</v>
      </c>
      <c r="B21" s="6">
        <f t="shared" ca="1" si="1"/>
        <v>-22.54175577665233</v>
      </c>
    </row>
    <row r="22" spans="1:2" x14ac:dyDescent="0.25">
      <c r="A22" s="6">
        <f t="shared" ca="1" si="0"/>
        <v>6.0592311483337575E-6</v>
      </c>
      <c r="B22" s="6">
        <f t="shared" ca="1" si="1"/>
        <v>-22.1758247966537</v>
      </c>
    </row>
    <row r="23" spans="1:2" x14ac:dyDescent="0.25">
      <c r="A23" s="6">
        <f t="shared" ca="1" si="0"/>
        <v>1.4804927257623242E-6</v>
      </c>
      <c r="B23" s="6">
        <f t="shared" ca="1" si="1"/>
        <v>-28.295937221274642</v>
      </c>
    </row>
    <row r="24" spans="1:2" x14ac:dyDescent="0.25">
      <c r="A24" s="6">
        <f t="shared" ca="1" si="0"/>
        <v>4.6342748629838452E-6</v>
      </c>
      <c r="B24" s="6">
        <f t="shared" ca="1" si="1"/>
        <v>-23.340182113882793</v>
      </c>
    </row>
    <row r="25" spans="1:2" x14ac:dyDescent="0.25">
      <c r="A25" s="6">
        <f t="shared" ca="1" si="0"/>
        <v>1.1708154245533115E-6</v>
      </c>
      <c r="B25" s="6">
        <f t="shared" ca="1" si="1"/>
        <v>-29.315115647194009</v>
      </c>
    </row>
    <row r="26" spans="1:2" x14ac:dyDescent="0.25">
      <c r="A26" s="6">
        <f t="shared" ca="1" si="0"/>
        <v>4.9433875239187035E-6</v>
      </c>
      <c r="B26" s="6">
        <f t="shared" ca="1" si="1"/>
        <v>-23.05975342826169</v>
      </c>
    </row>
    <row r="27" spans="1:2" x14ac:dyDescent="0.25">
      <c r="A27" s="6">
        <f t="shared" ca="1" si="0"/>
        <v>5.7396205801843717E-6</v>
      </c>
      <c r="B27" s="6">
        <f t="shared" ca="1" si="1"/>
        <v>-22.411168158561296</v>
      </c>
    </row>
    <row r="28" spans="1:2" x14ac:dyDescent="0.25">
      <c r="A28" s="6">
        <f t="shared" ca="1" si="0"/>
        <v>4.0407012987520471E-6</v>
      </c>
      <c r="B28" s="6">
        <f t="shared" ca="1" si="1"/>
        <v>-23.935432527739859</v>
      </c>
    </row>
    <row r="29" spans="1:2" x14ac:dyDescent="0.25">
      <c r="A29" s="6">
        <f t="shared" ca="1" si="0"/>
        <v>2.3708084584020143E-6</v>
      </c>
      <c r="B29" s="6">
        <f t="shared" ca="1" si="1"/>
        <v>-26.251035319852519</v>
      </c>
    </row>
    <row r="30" spans="1:2" x14ac:dyDescent="0.25">
      <c r="A30" s="6">
        <f t="shared" ca="1" si="0"/>
        <v>1.1623653237494918E-6</v>
      </c>
      <c r="B30" s="6">
        <f t="shared" ca="1" si="1"/>
        <v>-29.346573546020522</v>
      </c>
    </row>
    <row r="31" spans="1:2" x14ac:dyDescent="0.25">
      <c r="A31" s="6">
        <f t="shared" ca="1" si="0"/>
        <v>3.4899260136004664E-6</v>
      </c>
      <c r="B31" s="6">
        <f t="shared" ca="1" si="1"/>
        <v>-24.571837799822667</v>
      </c>
    </row>
    <row r="32" spans="1:2" x14ac:dyDescent="0.25">
      <c r="A32" s="6">
        <f t="shared" ca="1" si="0"/>
        <v>1.7656983796840727E-6</v>
      </c>
      <c r="B32" s="6">
        <f t="shared" ca="1" si="1"/>
        <v>-27.53083481520833</v>
      </c>
    </row>
    <row r="33" spans="1:2" x14ac:dyDescent="0.25">
      <c r="A33" s="6">
        <f t="shared" ca="1" si="0"/>
        <v>8.6247619233648197E-6</v>
      </c>
      <c r="B33" s="6">
        <f t="shared" ca="1" si="1"/>
        <v>-20.642528842890037</v>
      </c>
    </row>
    <row r="34" spans="1:2" x14ac:dyDescent="0.25">
      <c r="A34" s="6">
        <f t="shared" ca="1" si="0"/>
        <v>9.1455434736880732E-6</v>
      </c>
      <c r="B34" s="6">
        <f t="shared" ca="1" si="1"/>
        <v>-20.387904814821862</v>
      </c>
    </row>
    <row r="35" spans="1:2" x14ac:dyDescent="0.25">
      <c r="A35" s="6">
        <f t="shared" ca="1" si="0"/>
        <v>7.0545134581858385E-6</v>
      </c>
      <c r="B35" s="6">
        <f t="shared" ca="1" si="1"/>
        <v>-21.515329336759809</v>
      </c>
    </row>
    <row r="36" spans="1:2" x14ac:dyDescent="0.25">
      <c r="A36" s="6">
        <f t="shared" ca="1" si="0"/>
        <v>2.7581096910776674E-6</v>
      </c>
      <c r="B36" s="6">
        <f t="shared" ca="1" si="1"/>
        <v>-25.593884657589953</v>
      </c>
    </row>
    <row r="37" spans="1:2" x14ac:dyDescent="0.25">
      <c r="A37" s="6">
        <f t="shared" ca="1" si="0"/>
        <v>9.8980888033602519E-6</v>
      </c>
      <c r="B37" s="6">
        <f t="shared" ca="1" si="1"/>
        <v>-20.044486541178792</v>
      </c>
    </row>
    <row r="38" spans="1:2" x14ac:dyDescent="0.25">
      <c r="A38" s="6">
        <f t="shared" ca="1" si="0"/>
        <v>7.6825017274418248E-6</v>
      </c>
      <c r="B38" s="6">
        <f t="shared" ca="1" si="1"/>
        <v>-21.144973334186886</v>
      </c>
    </row>
    <row r="39" spans="1:2" x14ac:dyDescent="0.25">
      <c r="A39" s="6">
        <f t="shared" ca="1" si="0"/>
        <v>1.3737717026905592E-6</v>
      </c>
      <c r="B39" s="6">
        <f t="shared" ca="1" si="1"/>
        <v>-28.620854335789705</v>
      </c>
    </row>
    <row r="40" spans="1:2" x14ac:dyDescent="0.25">
      <c r="A40" s="6">
        <f t="shared" ca="1" si="0"/>
        <v>2.2200720022282144E-6</v>
      </c>
      <c r="B40" s="6">
        <f t="shared" ca="1" si="1"/>
        <v>-26.536329401154379</v>
      </c>
    </row>
    <row r="41" spans="1:2" x14ac:dyDescent="0.25">
      <c r="A41" s="6">
        <f t="shared" ca="1" si="0"/>
        <v>1.5899342164254306E-6</v>
      </c>
      <c r="B41" s="6">
        <f t="shared" ca="1" si="1"/>
        <v>-27.98620844254679</v>
      </c>
    </row>
    <row r="42" spans="1:2" x14ac:dyDescent="0.25">
      <c r="A42" s="6">
        <f t="shared" ca="1" si="0"/>
        <v>9.057244253913114E-6</v>
      </c>
      <c r="B42" s="6">
        <f t="shared" ca="1" si="1"/>
        <v>-20.4300392013443</v>
      </c>
    </row>
    <row r="43" spans="1:2" x14ac:dyDescent="0.25">
      <c r="A43" s="6">
        <f t="shared" ca="1" si="0"/>
        <v>4.6631095787531217E-6</v>
      </c>
      <c r="B43" s="6">
        <f t="shared" ca="1" si="1"/>
        <v>-23.313243789077948</v>
      </c>
    </row>
    <row r="44" spans="1:2" x14ac:dyDescent="0.25">
      <c r="A44" s="6">
        <f t="shared" ca="1" si="0"/>
        <v>2.9371819804987778E-6</v>
      </c>
      <c r="B44" s="6">
        <f t="shared" ca="1" si="1"/>
        <v>-25.320691448363981</v>
      </c>
    </row>
    <row r="45" spans="1:2" x14ac:dyDescent="0.25">
      <c r="A45" s="6">
        <f t="shared" ca="1" si="0"/>
        <v>9.5215504611628787E-6</v>
      </c>
      <c r="B45" s="6">
        <f t="shared" ca="1" si="1"/>
        <v>-20.212923266259502</v>
      </c>
    </row>
    <row r="46" spans="1:2" x14ac:dyDescent="0.25">
      <c r="A46" s="6">
        <f t="shared" ca="1" si="0"/>
        <v>6.6968969806612852E-6</v>
      </c>
      <c r="B46" s="6">
        <f t="shared" ca="1" si="1"/>
        <v>-21.741263818275144</v>
      </c>
    </row>
    <row r="47" spans="1:2" x14ac:dyDescent="0.25">
      <c r="A47" s="6">
        <f t="shared" ca="1" si="0"/>
        <v>1.4183074814770765E-6</v>
      </c>
      <c r="B47" s="6">
        <f t="shared" ca="1" si="1"/>
        <v>-28.482296062244426</v>
      </c>
    </row>
    <row r="48" spans="1:2" x14ac:dyDescent="0.25">
      <c r="A48" s="6">
        <f t="shared" ca="1" si="0"/>
        <v>2.0307389979015529E-6</v>
      </c>
      <c r="B48" s="6">
        <f t="shared" ca="1" si="1"/>
        <v>-26.923458909994842</v>
      </c>
    </row>
    <row r="49" spans="1:2" x14ac:dyDescent="0.25">
      <c r="A49" s="6">
        <f t="shared" ca="1" si="0"/>
        <v>2.6086248138815335E-6</v>
      </c>
      <c r="B49" s="6">
        <f t="shared" ca="1" si="1"/>
        <v>-25.835883789212083</v>
      </c>
    </row>
    <row r="50" spans="1:2" x14ac:dyDescent="0.25">
      <c r="A50" s="6">
        <f t="shared" ca="1" si="0"/>
        <v>5.0824488623195316E-6</v>
      </c>
      <c r="B50" s="6">
        <f t="shared" ca="1" si="1"/>
        <v>-22.939269823749555</v>
      </c>
    </row>
    <row r="51" spans="1:2" x14ac:dyDescent="0.25">
      <c r="A51" s="6">
        <f t="shared" ca="1" si="0"/>
        <v>8.9516479925393715E-6</v>
      </c>
      <c r="B51" s="6">
        <f t="shared" ca="1" si="1"/>
        <v>-20.480970039934981</v>
      </c>
    </row>
    <row r="52" spans="1:2" x14ac:dyDescent="0.25">
      <c r="A52" s="6">
        <f t="shared" ca="1" si="0"/>
        <v>3.5966386566871496E-6</v>
      </c>
      <c r="B52" s="6">
        <f t="shared" ca="1" si="1"/>
        <v>-24.441031922314444</v>
      </c>
    </row>
    <row r="53" spans="1:2" x14ac:dyDescent="0.25">
      <c r="A53" s="6">
        <f t="shared" ca="1" si="0"/>
        <v>6.2122048376342592E-6</v>
      </c>
      <c r="B53" s="6">
        <f t="shared" ca="1" si="1"/>
        <v>-22.06754232533374</v>
      </c>
    </row>
    <row r="54" spans="1:2" x14ac:dyDescent="0.25">
      <c r="A54" s="6">
        <f t="shared" ca="1" si="0"/>
        <v>6.8955232050935418E-6</v>
      </c>
      <c r="B54" s="6">
        <f t="shared" ca="1" si="1"/>
        <v>-21.614327756861968</v>
      </c>
    </row>
    <row r="55" spans="1:2" x14ac:dyDescent="0.25">
      <c r="A55" s="6">
        <f t="shared" ca="1" si="0"/>
        <v>9.2908971454276843E-6</v>
      </c>
      <c r="B55" s="6">
        <f t="shared" ca="1" si="1"/>
        <v>-20.319423477397653</v>
      </c>
    </row>
    <row r="56" spans="1:2" x14ac:dyDescent="0.25">
      <c r="A56" s="6">
        <f t="shared" ca="1" si="0"/>
        <v>5.3660600918510296E-6</v>
      </c>
      <c r="B56" s="6">
        <f t="shared" ca="1" si="1"/>
        <v>-22.703444681878999</v>
      </c>
    </row>
    <row r="57" spans="1:2" x14ac:dyDescent="0.25">
      <c r="A57" s="6">
        <f t="shared" ca="1" si="0"/>
        <v>4.0268144645930485E-6</v>
      </c>
      <c r="B57" s="6">
        <f t="shared" ca="1" si="1"/>
        <v>-23.950383800423577</v>
      </c>
    </row>
    <row r="58" spans="1:2" x14ac:dyDescent="0.25">
      <c r="A58" s="6">
        <f t="shared" ca="1" si="0"/>
        <v>5.1557586064571943E-6</v>
      </c>
      <c r="B58" s="6">
        <f t="shared" ca="1" si="1"/>
        <v>-22.877074245881822</v>
      </c>
    </row>
    <row r="59" spans="1:2" x14ac:dyDescent="0.25">
      <c r="A59" s="6">
        <f t="shared" ca="1" si="0"/>
        <v>1.6780622618105244E-6</v>
      </c>
      <c r="B59" s="6">
        <f t="shared" ca="1" si="1"/>
        <v>-27.751919294077354</v>
      </c>
    </row>
    <row r="60" spans="1:2" x14ac:dyDescent="0.25">
      <c r="A60" s="6">
        <f t="shared" ca="1" si="0"/>
        <v>5.2523811344870679E-6</v>
      </c>
      <c r="B60" s="6">
        <f t="shared" ca="1" si="1"/>
        <v>-22.796437672362377</v>
      </c>
    </row>
    <row r="61" spans="1:2" x14ac:dyDescent="0.25">
      <c r="A61" s="6">
        <f t="shared" ca="1" si="0"/>
        <v>1.3275356723512402E-6</v>
      </c>
      <c r="B61" s="6">
        <f t="shared" ca="1" si="1"/>
        <v>-28.769538001168129</v>
      </c>
    </row>
    <row r="62" spans="1:2" x14ac:dyDescent="0.25">
      <c r="A62" s="6">
        <f t="shared" ca="1" si="0"/>
        <v>8.9294832848597128E-6</v>
      </c>
      <c r="B62" s="6">
        <f t="shared" ca="1" si="1"/>
        <v>-20.491736713496159</v>
      </c>
    </row>
    <row r="63" spans="1:2" x14ac:dyDescent="0.25">
      <c r="A63" s="6">
        <f t="shared" ca="1" si="0"/>
        <v>5.6232286290677611E-6</v>
      </c>
      <c r="B63" s="6">
        <f t="shared" ca="1" si="1"/>
        <v>-22.500142585990819</v>
      </c>
    </row>
    <row r="64" spans="1:2" x14ac:dyDescent="0.25">
      <c r="A64" s="6">
        <f t="shared" ca="1" si="0"/>
        <v>8.2584002731709093E-6</v>
      </c>
      <c r="B64" s="6">
        <f t="shared" ca="1" si="1"/>
        <v>-20.831040713018947</v>
      </c>
    </row>
    <row r="65" spans="1:2" x14ac:dyDescent="0.25">
      <c r="A65" s="6">
        <f t="shared" ca="1" si="0"/>
        <v>4.0229067288610275E-6</v>
      </c>
      <c r="B65" s="6">
        <f t="shared" ca="1" si="1"/>
        <v>-23.954600364345929</v>
      </c>
    </row>
    <row r="66" spans="1:2" x14ac:dyDescent="0.25">
      <c r="A66" s="6">
        <f t="shared" ca="1" si="0"/>
        <v>5.5963091088995987E-6</v>
      </c>
      <c r="B66" s="6">
        <f t="shared" ca="1" si="1"/>
        <v>-22.52098305512969</v>
      </c>
    </row>
    <row r="67" spans="1:2" x14ac:dyDescent="0.25">
      <c r="A67" s="6">
        <f t="shared" ca="1" si="0"/>
        <v>5.4293667332443211E-6</v>
      </c>
      <c r="B67" s="6">
        <f t="shared" ca="1" si="1"/>
        <v>-22.652508223993642</v>
      </c>
    </row>
    <row r="68" spans="1:2" x14ac:dyDescent="0.25">
      <c r="A68" s="6">
        <f t="shared" ca="1" si="0"/>
        <v>4.2266457150203036E-6</v>
      </c>
      <c r="B68" s="6">
        <f t="shared" ca="1" si="1"/>
        <v>-23.740041539831651</v>
      </c>
    </row>
    <row r="69" spans="1:2" x14ac:dyDescent="0.25">
      <c r="A69" s="6">
        <f t="shared" ca="1" si="0"/>
        <v>3.7567259540906028E-6</v>
      </c>
      <c r="B69" s="6">
        <f t="shared" ca="1" si="1"/>
        <v>-24.25190484725583</v>
      </c>
    </row>
    <row r="70" spans="1:2" x14ac:dyDescent="0.25">
      <c r="A70" s="6">
        <f t="shared" ref="A70:A133" ca="1" si="2">RAND()*(B-A)+A</f>
        <v>6.6462661318324177E-6</v>
      </c>
      <c r="B70" s="6">
        <f t="shared" ref="B70:B133" ca="1" si="3">10*LOG(A70/0.001)</f>
        <v>-21.77422272555922</v>
      </c>
    </row>
    <row r="71" spans="1:2" x14ac:dyDescent="0.25">
      <c r="A71" s="6">
        <f t="shared" ca="1" si="2"/>
        <v>9.8973517234746881E-6</v>
      </c>
      <c r="B71" s="6">
        <f t="shared" ca="1" si="3"/>
        <v>-20.044809958813001</v>
      </c>
    </row>
    <row r="72" spans="1:2" x14ac:dyDescent="0.25">
      <c r="A72" s="6">
        <f t="shared" ca="1" si="2"/>
        <v>5.5273548299635747E-6</v>
      </c>
      <c r="B72" s="6">
        <f t="shared" ca="1" si="3"/>
        <v>-22.574826548774574</v>
      </c>
    </row>
    <row r="73" spans="1:2" x14ac:dyDescent="0.25">
      <c r="A73" s="6">
        <f t="shared" ca="1" si="2"/>
        <v>5.4502952912178409E-6</v>
      </c>
      <c r="B73" s="6">
        <f t="shared" ca="1" si="3"/>
        <v>-22.635799674715493</v>
      </c>
    </row>
    <row r="74" spans="1:2" x14ac:dyDescent="0.25">
      <c r="A74" s="6">
        <f t="shared" ca="1" si="2"/>
        <v>8.8850091899128269E-6</v>
      </c>
      <c r="B74" s="6">
        <f t="shared" ca="1" si="3"/>
        <v>-20.513421186604393</v>
      </c>
    </row>
    <row r="75" spans="1:2" x14ac:dyDescent="0.25">
      <c r="A75" s="6">
        <f t="shared" ca="1" si="2"/>
        <v>4.9454812104402112E-6</v>
      </c>
      <c r="B75" s="6">
        <f t="shared" ca="1" si="3"/>
        <v>-23.05791443830007</v>
      </c>
    </row>
    <row r="76" spans="1:2" x14ac:dyDescent="0.25">
      <c r="A76" s="6">
        <f t="shared" ca="1" si="2"/>
        <v>6.4996761242110391E-6</v>
      </c>
      <c r="B76" s="6">
        <f t="shared" ca="1" si="3"/>
        <v>-21.87108283506738</v>
      </c>
    </row>
    <row r="77" spans="1:2" x14ac:dyDescent="0.25">
      <c r="A77" s="6">
        <f t="shared" ca="1" si="2"/>
        <v>7.0858833716847441E-6</v>
      </c>
      <c r="B77" s="6">
        <f t="shared" ca="1" si="3"/>
        <v>-21.49606000104815</v>
      </c>
    </row>
    <row r="78" spans="1:2" x14ac:dyDescent="0.25">
      <c r="A78" s="6">
        <f t="shared" ca="1" si="2"/>
        <v>4.6644540513521779E-6</v>
      </c>
      <c r="B78" s="6">
        <f t="shared" ca="1" si="3"/>
        <v>-23.311991807192776</v>
      </c>
    </row>
    <row r="79" spans="1:2" x14ac:dyDescent="0.25">
      <c r="A79" s="6">
        <f t="shared" ca="1" si="2"/>
        <v>6.4226475080408821E-6</v>
      </c>
      <c r="B79" s="6">
        <f t="shared" ca="1" si="3"/>
        <v>-21.922859125668658</v>
      </c>
    </row>
    <row r="80" spans="1:2" x14ac:dyDescent="0.25">
      <c r="A80" s="6">
        <f t="shared" ca="1" si="2"/>
        <v>1.1178866672358493E-6</v>
      </c>
      <c r="B80" s="6">
        <f t="shared" ca="1" si="3"/>
        <v>-29.516022235417132</v>
      </c>
    </row>
    <row r="81" spans="1:2" x14ac:dyDescent="0.25">
      <c r="A81" s="6">
        <f t="shared" ca="1" si="2"/>
        <v>5.0032507934463742E-6</v>
      </c>
      <c r="B81" s="6">
        <f t="shared" ca="1" si="3"/>
        <v>-23.007477270826129</v>
      </c>
    </row>
    <row r="82" spans="1:2" x14ac:dyDescent="0.25">
      <c r="A82" s="6">
        <f t="shared" ca="1" si="2"/>
        <v>6.8484615550014664E-6</v>
      </c>
      <c r="B82" s="6">
        <f t="shared" ca="1" si="3"/>
        <v>-21.644069778818164</v>
      </c>
    </row>
    <row r="83" spans="1:2" x14ac:dyDescent="0.25">
      <c r="A83" s="6">
        <f t="shared" ca="1" si="2"/>
        <v>3.6913291805834322E-6</v>
      </c>
      <c r="B83" s="6">
        <f t="shared" ca="1" si="3"/>
        <v>-24.328172241253032</v>
      </c>
    </row>
    <row r="84" spans="1:2" x14ac:dyDescent="0.25">
      <c r="A84" s="6">
        <f t="shared" ca="1" si="2"/>
        <v>6.0323841845654735E-6</v>
      </c>
      <c r="B84" s="6">
        <f t="shared" ca="1" si="3"/>
        <v>-22.19511007336618</v>
      </c>
    </row>
    <row r="85" spans="1:2" x14ac:dyDescent="0.25">
      <c r="A85" s="6">
        <f t="shared" ca="1" si="2"/>
        <v>3.2951317476166324E-6</v>
      </c>
      <c r="B85" s="6">
        <f t="shared" ca="1" si="3"/>
        <v>-24.821272165421874</v>
      </c>
    </row>
    <row r="86" spans="1:2" x14ac:dyDescent="0.25">
      <c r="A86" s="6">
        <f t="shared" ca="1" si="2"/>
        <v>5.9839886611083356E-6</v>
      </c>
      <c r="B86" s="6">
        <f t="shared" ca="1" si="3"/>
        <v>-22.230092380752037</v>
      </c>
    </row>
    <row r="87" spans="1:2" x14ac:dyDescent="0.25">
      <c r="A87" s="6">
        <f t="shared" ca="1" si="2"/>
        <v>7.5064123732629026E-6</v>
      </c>
      <c r="B87" s="6">
        <f t="shared" ca="1" si="3"/>
        <v>-21.245675808084709</v>
      </c>
    </row>
    <row r="88" spans="1:2" x14ac:dyDescent="0.25">
      <c r="A88" s="6">
        <f t="shared" ca="1" si="2"/>
        <v>7.7957141728493368E-6</v>
      </c>
      <c r="B88" s="6">
        <f t="shared" ca="1" si="3"/>
        <v>-21.081440925187486</v>
      </c>
    </row>
    <row r="89" spans="1:2" x14ac:dyDescent="0.25">
      <c r="A89" s="6">
        <f t="shared" ca="1" si="2"/>
        <v>6.2547765087249939E-6</v>
      </c>
      <c r="B89" s="6">
        <f t="shared" ca="1" si="3"/>
        <v>-22.037882035983035</v>
      </c>
    </row>
    <row r="90" spans="1:2" x14ac:dyDescent="0.25">
      <c r="A90" s="6">
        <f t="shared" ca="1" si="2"/>
        <v>5.0700819268949206E-6</v>
      </c>
      <c r="B90" s="6">
        <f t="shared" ca="1" si="3"/>
        <v>-22.949850228933087</v>
      </c>
    </row>
    <row r="91" spans="1:2" x14ac:dyDescent="0.25">
      <c r="A91" s="6">
        <f t="shared" ca="1" si="2"/>
        <v>7.8663308106184773E-6</v>
      </c>
      <c r="B91" s="6">
        <f t="shared" ca="1" si="3"/>
        <v>-21.042277937252571</v>
      </c>
    </row>
    <row r="92" spans="1:2" x14ac:dyDescent="0.25">
      <c r="A92" s="6">
        <f t="shared" ca="1" si="2"/>
        <v>9.6910091723707394E-6</v>
      </c>
      <c r="B92" s="6">
        <f t="shared" ca="1" si="3"/>
        <v>-20.136309953773988</v>
      </c>
    </row>
    <row r="93" spans="1:2" x14ac:dyDescent="0.25">
      <c r="A93" s="6">
        <f t="shared" ca="1" si="2"/>
        <v>5.3447163923002546E-6</v>
      </c>
      <c r="B93" s="6">
        <f t="shared" ca="1" si="3"/>
        <v>-22.720753348942758</v>
      </c>
    </row>
    <row r="94" spans="1:2" x14ac:dyDescent="0.25">
      <c r="A94" s="6">
        <f t="shared" ca="1" si="2"/>
        <v>5.5173380427728348E-6</v>
      </c>
      <c r="B94" s="6">
        <f t="shared" ca="1" si="3"/>
        <v>-22.582704063606705</v>
      </c>
    </row>
    <row r="95" spans="1:2" x14ac:dyDescent="0.25">
      <c r="A95" s="6">
        <f t="shared" ca="1" si="2"/>
        <v>4.9754794686442004E-6</v>
      </c>
      <c r="B95" s="6">
        <f t="shared" ca="1" si="3"/>
        <v>-23.031650615407901</v>
      </c>
    </row>
    <row r="96" spans="1:2" x14ac:dyDescent="0.25">
      <c r="A96" s="6">
        <f t="shared" ca="1" si="2"/>
        <v>9.3253532148633447E-6</v>
      </c>
      <c r="B96" s="6">
        <f t="shared" ca="1" si="3"/>
        <v>-20.303347095073821</v>
      </c>
    </row>
    <row r="97" spans="1:2" x14ac:dyDescent="0.25">
      <c r="A97" s="6">
        <f t="shared" ca="1" si="2"/>
        <v>2.7318336080606211E-6</v>
      </c>
      <c r="B97" s="6">
        <f t="shared" ca="1" si="3"/>
        <v>-25.635457564186822</v>
      </c>
    </row>
    <row r="98" spans="1:2" x14ac:dyDescent="0.25">
      <c r="A98" s="6">
        <f t="shared" ca="1" si="2"/>
        <v>2.9571977165354671E-6</v>
      </c>
      <c r="B98" s="6">
        <f t="shared" ca="1" si="3"/>
        <v>-25.291196378243207</v>
      </c>
    </row>
    <row r="99" spans="1:2" x14ac:dyDescent="0.25">
      <c r="A99" s="6">
        <f t="shared" ca="1" si="2"/>
        <v>1.0752233847493768E-6</v>
      </c>
      <c r="B99" s="6">
        <f t="shared" ca="1" si="3"/>
        <v>-29.685012988315673</v>
      </c>
    </row>
    <row r="100" spans="1:2" x14ac:dyDescent="0.25">
      <c r="A100" s="6">
        <f t="shared" ca="1" si="2"/>
        <v>1.9193928536772892E-6</v>
      </c>
      <c r="B100" s="6">
        <f t="shared" ca="1" si="3"/>
        <v>-27.168361265033326</v>
      </c>
    </row>
    <row r="101" spans="1:2" x14ac:dyDescent="0.25">
      <c r="A101" s="6">
        <f t="shared" ca="1" si="2"/>
        <v>9.4653462749503097E-6</v>
      </c>
      <c r="B101" s="6">
        <f t="shared" ca="1" si="3"/>
        <v>-20.238634934223924</v>
      </c>
    </row>
    <row r="102" spans="1:2" x14ac:dyDescent="0.25">
      <c r="A102" s="6">
        <f t="shared" ca="1" si="2"/>
        <v>5.1356984248441115E-6</v>
      </c>
      <c r="B102" s="6">
        <f t="shared" ca="1" si="3"/>
        <v>-22.894004865496868</v>
      </c>
    </row>
    <row r="103" spans="1:2" x14ac:dyDescent="0.25">
      <c r="A103" s="6">
        <f t="shared" ca="1" si="2"/>
        <v>1.7335855883170949E-6</v>
      </c>
      <c r="B103" s="6">
        <f t="shared" ca="1" si="3"/>
        <v>-27.610547120599371</v>
      </c>
    </row>
    <row r="104" spans="1:2" x14ac:dyDescent="0.25">
      <c r="A104" s="6">
        <f t="shared" ca="1" si="2"/>
        <v>6.8172830171362872E-6</v>
      </c>
      <c r="B104" s="6">
        <f t="shared" ca="1" si="3"/>
        <v>-21.663886760427353</v>
      </c>
    </row>
    <row r="105" spans="1:2" x14ac:dyDescent="0.25">
      <c r="A105" s="6">
        <f t="shared" ca="1" si="2"/>
        <v>2.4687555775356032E-6</v>
      </c>
      <c r="B105" s="6">
        <f t="shared" ca="1" si="3"/>
        <v>-26.075219058486248</v>
      </c>
    </row>
    <row r="106" spans="1:2" x14ac:dyDescent="0.25">
      <c r="A106" s="6">
        <f t="shared" ca="1" si="2"/>
        <v>1.1953511539832087E-6</v>
      </c>
      <c r="B106" s="6">
        <f t="shared" ca="1" si="3"/>
        <v>-29.225044948541672</v>
      </c>
    </row>
    <row r="107" spans="1:2" x14ac:dyDescent="0.25">
      <c r="A107" s="6">
        <f t="shared" ca="1" si="2"/>
        <v>9.6815065247476513E-6</v>
      </c>
      <c r="B107" s="6">
        <f t="shared" ca="1" si="3"/>
        <v>-20.140570575183929</v>
      </c>
    </row>
    <row r="108" spans="1:2" x14ac:dyDescent="0.25">
      <c r="A108" s="6">
        <f t="shared" ca="1" si="2"/>
        <v>6.0410954766798631E-6</v>
      </c>
      <c r="B108" s="6">
        <f t="shared" ca="1" si="3"/>
        <v>-22.188843003957537</v>
      </c>
    </row>
    <row r="109" spans="1:2" x14ac:dyDescent="0.25">
      <c r="A109" s="6">
        <f t="shared" ca="1" si="2"/>
        <v>7.8920760431485033E-6</v>
      </c>
      <c r="B109" s="6">
        <f t="shared" ca="1" si="3"/>
        <v>-21.028087388074951</v>
      </c>
    </row>
    <row r="110" spans="1:2" x14ac:dyDescent="0.25">
      <c r="A110" s="6">
        <f t="shared" ca="1" si="2"/>
        <v>2.0488284741963722E-6</v>
      </c>
      <c r="B110" s="6">
        <f t="shared" ca="1" si="3"/>
        <v>-26.884943987623767</v>
      </c>
    </row>
    <row r="111" spans="1:2" x14ac:dyDescent="0.25">
      <c r="A111" s="6">
        <f t="shared" ca="1" si="2"/>
        <v>7.3533010001841719E-6</v>
      </c>
      <c r="B111" s="6">
        <f t="shared" ca="1" si="3"/>
        <v>-21.33517656244566</v>
      </c>
    </row>
    <row r="112" spans="1:2" x14ac:dyDescent="0.25">
      <c r="A112" s="6">
        <f t="shared" ca="1" si="2"/>
        <v>5.0101299056639756E-6</v>
      </c>
      <c r="B112" s="6">
        <f t="shared" ca="1" si="3"/>
        <v>-23.001510133380204</v>
      </c>
    </row>
    <row r="113" spans="1:2" x14ac:dyDescent="0.25">
      <c r="A113" s="6">
        <f t="shared" ca="1" si="2"/>
        <v>2.7248762987197749E-6</v>
      </c>
      <c r="B113" s="6">
        <f t="shared" ca="1" si="3"/>
        <v>-25.646532086177295</v>
      </c>
    </row>
    <row r="114" spans="1:2" x14ac:dyDescent="0.25">
      <c r="A114" s="6">
        <f t="shared" ca="1" si="2"/>
        <v>5.2660875355777312E-6</v>
      </c>
      <c r="B114" s="6">
        <f t="shared" ca="1" si="3"/>
        <v>-22.785119261068182</v>
      </c>
    </row>
    <row r="115" spans="1:2" x14ac:dyDescent="0.25">
      <c r="A115" s="6">
        <f t="shared" ca="1" si="2"/>
        <v>2.0601957480599729E-6</v>
      </c>
      <c r="B115" s="6">
        <f t="shared" ca="1" si="3"/>
        <v>-26.860915134835317</v>
      </c>
    </row>
    <row r="116" spans="1:2" x14ac:dyDescent="0.25">
      <c r="A116" s="6">
        <f t="shared" ca="1" si="2"/>
        <v>1.1525454292288735E-6</v>
      </c>
      <c r="B116" s="6">
        <f t="shared" ca="1" si="3"/>
        <v>-29.383419472618932</v>
      </c>
    </row>
    <row r="117" spans="1:2" x14ac:dyDescent="0.25">
      <c r="A117" s="6">
        <f t="shared" ca="1" si="2"/>
        <v>3.0210908427606976E-6</v>
      </c>
      <c r="B117" s="6">
        <f t="shared" ca="1" si="3"/>
        <v>-25.198362155024473</v>
      </c>
    </row>
    <row r="118" spans="1:2" x14ac:dyDescent="0.25">
      <c r="A118" s="6">
        <f t="shared" ca="1" si="2"/>
        <v>8.5631938606363985E-6</v>
      </c>
      <c r="B118" s="6">
        <f t="shared" ca="1" si="3"/>
        <v>-20.673642239507007</v>
      </c>
    </row>
    <row r="119" spans="1:2" x14ac:dyDescent="0.25">
      <c r="A119" s="6">
        <f t="shared" ca="1" si="2"/>
        <v>9.3945578448405216E-6</v>
      </c>
      <c r="B119" s="6">
        <f t="shared" ca="1" si="3"/>
        <v>-20.271236551658696</v>
      </c>
    </row>
    <row r="120" spans="1:2" x14ac:dyDescent="0.25">
      <c r="A120" s="6">
        <f t="shared" ca="1" si="2"/>
        <v>8.1975854954844635E-6</v>
      </c>
      <c r="B120" s="6">
        <f t="shared" ca="1" si="3"/>
        <v>-20.863140452260254</v>
      </c>
    </row>
    <row r="121" spans="1:2" x14ac:dyDescent="0.25">
      <c r="A121" s="6">
        <f t="shared" ca="1" si="2"/>
        <v>8.1680491878737011E-6</v>
      </c>
      <c r="B121" s="6">
        <f t="shared" ca="1" si="3"/>
        <v>-20.878816555982027</v>
      </c>
    </row>
    <row r="122" spans="1:2" x14ac:dyDescent="0.25">
      <c r="A122" s="6">
        <f t="shared" ca="1" si="2"/>
        <v>5.2277684793021467E-6</v>
      </c>
      <c r="B122" s="6">
        <f t="shared" ca="1" si="3"/>
        <v>-22.816836541419839</v>
      </c>
    </row>
    <row r="123" spans="1:2" x14ac:dyDescent="0.25">
      <c r="A123" s="6">
        <f t="shared" ca="1" si="2"/>
        <v>6.079718306035764E-6</v>
      </c>
      <c r="B123" s="6">
        <f t="shared" ca="1" si="3"/>
        <v>-22.161165425970641</v>
      </c>
    </row>
    <row r="124" spans="1:2" x14ac:dyDescent="0.25">
      <c r="A124" s="6">
        <f t="shared" ca="1" si="2"/>
        <v>6.4666915873908595E-6</v>
      </c>
      <c r="B124" s="6">
        <f t="shared" ca="1" si="3"/>
        <v>-21.893178511432279</v>
      </c>
    </row>
    <row r="125" spans="1:2" x14ac:dyDescent="0.25">
      <c r="A125" s="6">
        <f t="shared" ca="1" si="2"/>
        <v>6.4729101394166427E-6</v>
      </c>
      <c r="B125" s="6">
        <f t="shared" ca="1" si="3"/>
        <v>-21.889004220607632</v>
      </c>
    </row>
    <row r="126" spans="1:2" x14ac:dyDescent="0.25">
      <c r="A126" s="6">
        <f t="shared" ca="1" si="2"/>
        <v>2.8969040987652701E-6</v>
      </c>
      <c r="B126" s="6">
        <f t="shared" ca="1" si="3"/>
        <v>-25.38065881760836</v>
      </c>
    </row>
    <row r="127" spans="1:2" x14ac:dyDescent="0.25">
      <c r="A127" s="6">
        <f t="shared" ca="1" si="2"/>
        <v>1.1385152243031073E-6</v>
      </c>
      <c r="B127" s="6">
        <f t="shared" ca="1" si="3"/>
        <v>-29.436611575946241</v>
      </c>
    </row>
    <row r="128" spans="1:2" x14ac:dyDescent="0.25">
      <c r="A128" s="6">
        <f t="shared" ca="1" si="2"/>
        <v>4.1149424686213542E-6</v>
      </c>
      <c r="B128" s="6">
        <f t="shared" ca="1" si="3"/>
        <v>-23.856362323192553</v>
      </c>
    </row>
    <row r="129" spans="1:2" x14ac:dyDescent="0.25">
      <c r="A129" s="6">
        <f t="shared" ca="1" si="2"/>
        <v>8.4356629782581787E-6</v>
      </c>
      <c r="B129" s="6">
        <f t="shared" ca="1" si="3"/>
        <v>-20.738807795260243</v>
      </c>
    </row>
    <row r="130" spans="1:2" x14ac:dyDescent="0.25">
      <c r="A130" s="6">
        <f t="shared" ca="1" si="2"/>
        <v>9.5704302742577091E-6</v>
      </c>
      <c r="B130" s="6">
        <f t="shared" ca="1" si="3"/>
        <v>-20.190685364619085</v>
      </c>
    </row>
    <row r="131" spans="1:2" x14ac:dyDescent="0.25">
      <c r="A131" s="6">
        <f t="shared" ca="1" si="2"/>
        <v>3.2316210093701771E-6</v>
      </c>
      <c r="B131" s="6">
        <f t="shared" ca="1" si="3"/>
        <v>-24.905795771023588</v>
      </c>
    </row>
    <row r="132" spans="1:2" x14ac:dyDescent="0.25">
      <c r="A132" s="6">
        <f t="shared" ca="1" si="2"/>
        <v>8.3834254929611289E-6</v>
      </c>
      <c r="B132" s="6">
        <f t="shared" ca="1" si="3"/>
        <v>-20.765784910695281</v>
      </c>
    </row>
    <row r="133" spans="1:2" x14ac:dyDescent="0.25">
      <c r="A133" s="6">
        <f t="shared" ca="1" si="2"/>
        <v>1.1721187633375309E-6</v>
      </c>
      <c r="B133" s="6">
        <f t="shared" ca="1" si="3"/>
        <v>-29.31028381791473</v>
      </c>
    </row>
    <row r="134" spans="1:2" x14ac:dyDescent="0.25">
      <c r="A134" s="6">
        <f t="shared" ref="A134:A197" ca="1" si="4">RAND()*(B-A)+A</f>
        <v>2.0513087216542295E-6</v>
      </c>
      <c r="B134" s="6">
        <f t="shared" ref="B134:B197" ca="1" si="5">10*LOG(A134/0.001)</f>
        <v>-26.87968973458473</v>
      </c>
    </row>
    <row r="135" spans="1:2" x14ac:dyDescent="0.25">
      <c r="A135" s="6">
        <f t="shared" ca="1" si="4"/>
        <v>4.316435310466153E-6</v>
      </c>
      <c r="B135" s="6">
        <f t="shared" ca="1" si="5"/>
        <v>-23.64874763386695</v>
      </c>
    </row>
    <row r="136" spans="1:2" x14ac:dyDescent="0.25">
      <c r="A136" s="6">
        <f t="shared" ca="1" si="4"/>
        <v>7.9460070423724393E-6</v>
      </c>
      <c r="B136" s="6">
        <f t="shared" ca="1" si="5"/>
        <v>-20.998510543747745</v>
      </c>
    </row>
    <row r="137" spans="1:2" x14ac:dyDescent="0.25">
      <c r="A137" s="6">
        <f t="shared" ca="1" si="4"/>
        <v>1.7388633730838076E-6</v>
      </c>
      <c r="B137" s="6">
        <f t="shared" ca="1" si="5"/>
        <v>-27.597345402783819</v>
      </c>
    </row>
    <row r="138" spans="1:2" x14ac:dyDescent="0.25">
      <c r="A138" s="6">
        <f t="shared" ca="1" si="4"/>
        <v>9.4304315174832207E-6</v>
      </c>
      <c r="B138" s="6">
        <f t="shared" ca="1" si="5"/>
        <v>-20.254684343704032</v>
      </c>
    </row>
    <row r="139" spans="1:2" x14ac:dyDescent="0.25">
      <c r="A139" s="6">
        <f t="shared" ca="1" si="4"/>
        <v>3.3585859638319078E-6</v>
      </c>
      <c r="B139" s="6">
        <f t="shared" ca="1" si="5"/>
        <v>-24.738435313491934</v>
      </c>
    </row>
    <row r="140" spans="1:2" x14ac:dyDescent="0.25">
      <c r="A140" s="6">
        <f t="shared" ca="1" si="4"/>
        <v>1.3077372286780627E-6</v>
      </c>
      <c r="B140" s="6">
        <f t="shared" ca="1" si="5"/>
        <v>-28.834795125864968</v>
      </c>
    </row>
    <row r="141" spans="1:2" x14ac:dyDescent="0.25">
      <c r="A141" s="6">
        <f t="shared" ca="1" si="4"/>
        <v>5.1800952668643973E-6</v>
      </c>
      <c r="B141" s="6">
        <f t="shared" ca="1" si="5"/>
        <v>-22.856622530939443</v>
      </c>
    </row>
    <row r="142" spans="1:2" x14ac:dyDescent="0.25">
      <c r="A142" s="6">
        <f t="shared" ca="1" si="4"/>
        <v>5.813571584926521E-6</v>
      </c>
      <c r="B142" s="6">
        <f t="shared" ca="1" si="5"/>
        <v>-22.355569755166975</v>
      </c>
    </row>
    <row r="143" spans="1:2" x14ac:dyDescent="0.25">
      <c r="A143" s="6">
        <f t="shared" ca="1" si="4"/>
        <v>3.4977250984774341E-6</v>
      </c>
      <c r="B143" s="6">
        <f t="shared" ca="1" si="5"/>
        <v>-24.56214326620011</v>
      </c>
    </row>
    <row r="144" spans="1:2" x14ac:dyDescent="0.25">
      <c r="A144" s="6">
        <f t="shared" ca="1" si="4"/>
        <v>5.0368101191197888E-6</v>
      </c>
      <c r="B144" s="6">
        <f t="shared" ca="1" si="5"/>
        <v>-22.978444211440497</v>
      </c>
    </row>
    <row r="145" spans="1:2" x14ac:dyDescent="0.25">
      <c r="A145" s="6">
        <f t="shared" ca="1" si="4"/>
        <v>8.0782561116266857E-6</v>
      </c>
      <c r="B145" s="6">
        <f t="shared" ca="1" si="5"/>
        <v>-20.926823821510482</v>
      </c>
    </row>
    <row r="146" spans="1:2" x14ac:dyDescent="0.25">
      <c r="A146" s="6">
        <f t="shared" ca="1" si="4"/>
        <v>2.1287291425835749E-6</v>
      </c>
      <c r="B146" s="6">
        <f t="shared" ca="1" si="5"/>
        <v>-26.718795942520025</v>
      </c>
    </row>
    <row r="147" spans="1:2" x14ac:dyDescent="0.25">
      <c r="A147" s="6">
        <f t="shared" ca="1" si="4"/>
        <v>5.5033911197217595E-6</v>
      </c>
      <c r="B147" s="6">
        <f t="shared" ca="1" si="5"/>
        <v>-22.593696212791826</v>
      </c>
    </row>
    <row r="148" spans="1:2" x14ac:dyDescent="0.25">
      <c r="A148" s="6">
        <f t="shared" ca="1" si="4"/>
        <v>8.3680335411787373E-6</v>
      </c>
      <c r="B148" s="6">
        <f t="shared" ca="1" si="5"/>
        <v>-20.773765877120244</v>
      </c>
    </row>
    <row r="149" spans="1:2" x14ac:dyDescent="0.25">
      <c r="A149" s="6">
        <f t="shared" ca="1" si="4"/>
        <v>6.3018297962679687E-6</v>
      </c>
      <c r="B149" s="6">
        <f t="shared" ca="1" si="5"/>
        <v>-22.005333306986472</v>
      </c>
    </row>
    <row r="150" spans="1:2" x14ac:dyDescent="0.25">
      <c r="A150" s="6">
        <f t="shared" ca="1" si="4"/>
        <v>9.0096517092627288E-6</v>
      </c>
      <c r="B150" s="6">
        <f t="shared" ca="1" si="5"/>
        <v>-20.45291997441463</v>
      </c>
    </row>
    <row r="151" spans="1:2" x14ac:dyDescent="0.25">
      <c r="A151" s="6">
        <f t="shared" ca="1" si="4"/>
        <v>3.2132262747795839E-6</v>
      </c>
      <c r="B151" s="6">
        <f t="shared" ca="1" si="5"/>
        <v>-24.930586904372735</v>
      </c>
    </row>
    <row r="152" spans="1:2" x14ac:dyDescent="0.25">
      <c r="A152" s="6">
        <f t="shared" ca="1" si="4"/>
        <v>5.5800329372026157E-6</v>
      </c>
      <c r="B152" s="6">
        <f t="shared" ca="1" si="5"/>
        <v>-22.533632375493159</v>
      </c>
    </row>
    <row r="153" spans="1:2" x14ac:dyDescent="0.25">
      <c r="A153" s="6">
        <f t="shared" ca="1" si="4"/>
        <v>1.2609922253387005E-6</v>
      </c>
      <c r="B153" s="6">
        <f t="shared" ca="1" si="5"/>
        <v>-28.992875910660221</v>
      </c>
    </row>
    <row r="154" spans="1:2" x14ac:dyDescent="0.25">
      <c r="A154" s="6">
        <f t="shared" ca="1" si="4"/>
        <v>9.6944497841207717E-6</v>
      </c>
      <c r="B154" s="6">
        <f t="shared" ca="1" si="5"/>
        <v>-20.134768345998332</v>
      </c>
    </row>
    <row r="155" spans="1:2" x14ac:dyDescent="0.25">
      <c r="A155" s="6">
        <f t="shared" ca="1" si="4"/>
        <v>9.3922069937184549E-6</v>
      </c>
      <c r="B155" s="6">
        <f t="shared" ca="1" si="5"/>
        <v>-20.27232344627221</v>
      </c>
    </row>
    <row r="156" spans="1:2" x14ac:dyDescent="0.25">
      <c r="A156" s="6">
        <f t="shared" ca="1" si="4"/>
        <v>7.7712529411034912E-6</v>
      </c>
      <c r="B156" s="6">
        <f t="shared" ca="1" si="5"/>
        <v>-21.095089552609405</v>
      </c>
    </row>
    <row r="157" spans="1:2" x14ac:dyDescent="0.25">
      <c r="A157" s="6">
        <f t="shared" ca="1" si="4"/>
        <v>7.1146312250372802E-6</v>
      </c>
      <c r="B157" s="6">
        <f t="shared" ca="1" si="5"/>
        <v>-21.478476059215147</v>
      </c>
    </row>
    <row r="158" spans="1:2" x14ac:dyDescent="0.25">
      <c r="A158" s="6">
        <f t="shared" ca="1" si="4"/>
        <v>2.8888067744489965E-6</v>
      </c>
      <c r="B158" s="6">
        <f t="shared" ca="1" si="5"/>
        <v>-25.392815061298425</v>
      </c>
    </row>
    <row r="159" spans="1:2" x14ac:dyDescent="0.25">
      <c r="A159" s="6">
        <f t="shared" ca="1" si="4"/>
        <v>6.6181479307033417E-6</v>
      </c>
      <c r="B159" s="6">
        <f t="shared" ca="1" si="5"/>
        <v>-21.792635295953037</v>
      </c>
    </row>
    <row r="160" spans="1:2" x14ac:dyDescent="0.25">
      <c r="A160" s="6">
        <f t="shared" ca="1" si="4"/>
        <v>8.3738095385342295E-6</v>
      </c>
      <c r="B160" s="6">
        <f t="shared" ca="1" si="5"/>
        <v>-20.770769213172841</v>
      </c>
    </row>
    <row r="161" spans="1:2" x14ac:dyDescent="0.25">
      <c r="A161" s="6">
        <f t="shared" ca="1" si="4"/>
        <v>5.7595528934666135E-6</v>
      </c>
      <c r="B161" s="6">
        <f t="shared" ca="1" si="5"/>
        <v>-22.396112289790256</v>
      </c>
    </row>
    <row r="162" spans="1:2" x14ac:dyDescent="0.25">
      <c r="A162" s="6">
        <f t="shared" ca="1" si="4"/>
        <v>5.1339754059414059E-6</v>
      </c>
      <c r="B162" s="6">
        <f t="shared" ca="1" si="5"/>
        <v>-22.895462161261101</v>
      </c>
    </row>
    <row r="163" spans="1:2" x14ac:dyDescent="0.25">
      <c r="A163" s="6">
        <f t="shared" ca="1" si="4"/>
        <v>4.911130177284094E-6</v>
      </c>
      <c r="B163" s="6">
        <f t="shared" ca="1" si="5"/>
        <v>-23.088185540527036</v>
      </c>
    </row>
    <row r="164" spans="1:2" x14ac:dyDescent="0.25">
      <c r="A164" s="6">
        <f t="shared" ca="1" si="4"/>
        <v>2.6931214949532711E-6</v>
      </c>
      <c r="B164" s="6">
        <f t="shared" ca="1" si="5"/>
        <v>-25.697440537932501</v>
      </c>
    </row>
    <row r="165" spans="1:2" x14ac:dyDescent="0.25">
      <c r="A165" s="6">
        <f t="shared" ca="1" si="4"/>
        <v>1.7947486020715028E-6</v>
      </c>
      <c r="B165" s="6">
        <f t="shared" ca="1" si="5"/>
        <v>-27.459963762664152</v>
      </c>
    </row>
    <row r="166" spans="1:2" x14ac:dyDescent="0.25">
      <c r="A166" s="6">
        <f t="shared" ca="1" si="4"/>
        <v>9.8693718657527292E-6</v>
      </c>
      <c r="B166" s="6">
        <f t="shared" ca="1" si="5"/>
        <v>-20.057104870383977</v>
      </c>
    </row>
    <row r="167" spans="1:2" x14ac:dyDescent="0.25">
      <c r="A167" s="6">
        <f t="shared" ca="1" si="4"/>
        <v>1.930058841703369E-6</v>
      </c>
      <c r="B167" s="6">
        <f t="shared" ca="1" si="5"/>
        <v>-27.144294504546444</v>
      </c>
    </row>
    <row r="168" spans="1:2" x14ac:dyDescent="0.25">
      <c r="A168" s="6">
        <f t="shared" ca="1" si="4"/>
        <v>2.6754856669794737E-6</v>
      </c>
      <c r="B168" s="6">
        <f t="shared" ca="1" si="5"/>
        <v>-25.725973712710744</v>
      </c>
    </row>
    <row r="169" spans="1:2" x14ac:dyDescent="0.25">
      <c r="A169" s="6">
        <f t="shared" ca="1" si="4"/>
        <v>4.7961236277001472E-6</v>
      </c>
      <c r="B169" s="6">
        <f t="shared" ca="1" si="5"/>
        <v>-23.191096307992115</v>
      </c>
    </row>
    <row r="170" spans="1:2" x14ac:dyDescent="0.25">
      <c r="A170" s="6">
        <f t="shared" ca="1" si="4"/>
        <v>2.1879600833778523E-6</v>
      </c>
      <c r="B170" s="6">
        <f t="shared" ca="1" si="5"/>
        <v>-26.599606054313249</v>
      </c>
    </row>
    <row r="171" spans="1:2" x14ac:dyDescent="0.25">
      <c r="A171" s="6">
        <f t="shared" ca="1" si="4"/>
        <v>7.4440462827303781E-6</v>
      </c>
      <c r="B171" s="6">
        <f t="shared" ca="1" si="5"/>
        <v>-21.281909353435378</v>
      </c>
    </row>
    <row r="172" spans="1:2" x14ac:dyDescent="0.25">
      <c r="A172" s="6">
        <f t="shared" ca="1" si="4"/>
        <v>1.5661584223715621E-6</v>
      </c>
      <c r="B172" s="6">
        <f t="shared" ca="1" si="5"/>
        <v>-28.051643096587373</v>
      </c>
    </row>
    <row r="173" spans="1:2" x14ac:dyDescent="0.25">
      <c r="A173" s="6">
        <f t="shared" ca="1" si="4"/>
        <v>9.776971850312976E-6</v>
      </c>
      <c r="B173" s="6">
        <f t="shared" ca="1" si="5"/>
        <v>-20.097956352264998</v>
      </c>
    </row>
    <row r="174" spans="1:2" x14ac:dyDescent="0.25">
      <c r="A174" s="6">
        <f t="shared" ca="1" si="4"/>
        <v>1.3706453432700185E-6</v>
      </c>
      <c r="B174" s="6">
        <f t="shared" ca="1" si="5"/>
        <v>-28.630749050837569</v>
      </c>
    </row>
    <row r="175" spans="1:2" x14ac:dyDescent="0.25">
      <c r="A175" s="6">
        <f t="shared" ca="1" si="4"/>
        <v>8.0817127108251014E-6</v>
      </c>
      <c r="B175" s="6">
        <f t="shared" ca="1" si="5"/>
        <v>-20.92496591943479</v>
      </c>
    </row>
    <row r="176" spans="1:2" x14ac:dyDescent="0.25">
      <c r="A176" s="6">
        <f t="shared" ca="1" si="4"/>
        <v>4.7899494338901975E-6</v>
      </c>
      <c r="B176" s="6">
        <f t="shared" ca="1" si="5"/>
        <v>-23.196690712823834</v>
      </c>
    </row>
    <row r="177" spans="1:2" x14ac:dyDescent="0.25">
      <c r="A177" s="6">
        <f t="shared" ca="1" si="4"/>
        <v>8.5119942918066461E-6</v>
      </c>
      <c r="B177" s="6">
        <f t="shared" ca="1" si="5"/>
        <v>-20.699686762893592</v>
      </c>
    </row>
    <row r="178" spans="1:2" x14ac:dyDescent="0.25">
      <c r="A178" s="6">
        <f t="shared" ca="1" si="4"/>
        <v>1.4086176696843126E-6</v>
      </c>
      <c r="B178" s="6">
        <f t="shared" ca="1" si="5"/>
        <v>-28.512068681243893</v>
      </c>
    </row>
    <row r="179" spans="1:2" x14ac:dyDescent="0.25">
      <c r="A179" s="6">
        <f t="shared" ca="1" si="4"/>
        <v>4.2041744952932054E-6</v>
      </c>
      <c r="B179" s="6">
        <f t="shared" ca="1" si="5"/>
        <v>-23.763192667707571</v>
      </c>
    </row>
    <row r="180" spans="1:2" x14ac:dyDescent="0.25">
      <c r="A180" s="6">
        <f t="shared" ca="1" si="4"/>
        <v>4.1822373228208885E-6</v>
      </c>
      <c r="B180" s="6">
        <f t="shared" ca="1" si="5"/>
        <v>-23.785913265955429</v>
      </c>
    </row>
    <row r="181" spans="1:2" x14ac:dyDescent="0.25">
      <c r="A181" s="6">
        <f t="shared" ca="1" si="4"/>
        <v>5.820350190034615E-6</v>
      </c>
      <c r="B181" s="6">
        <f t="shared" ca="1" si="5"/>
        <v>-22.350508845899171</v>
      </c>
    </row>
    <row r="182" spans="1:2" x14ac:dyDescent="0.25">
      <c r="A182" s="6">
        <f t="shared" ca="1" si="4"/>
        <v>4.3665483543482825E-6</v>
      </c>
      <c r="B182" s="6">
        <f t="shared" ca="1" si="5"/>
        <v>-23.598617261821691</v>
      </c>
    </row>
    <row r="183" spans="1:2" x14ac:dyDescent="0.25">
      <c r="A183" s="6">
        <f t="shared" ca="1" si="4"/>
        <v>5.7484138437123668E-6</v>
      </c>
      <c r="B183" s="6">
        <f t="shared" ca="1" si="5"/>
        <v>-22.404519733890869</v>
      </c>
    </row>
    <row r="184" spans="1:2" x14ac:dyDescent="0.25">
      <c r="A184" s="6">
        <f t="shared" ca="1" si="4"/>
        <v>9.995121591869328E-6</v>
      </c>
      <c r="B184" s="6">
        <f t="shared" ca="1" si="5"/>
        <v>-20.002119182685565</v>
      </c>
    </row>
    <row r="185" spans="1:2" x14ac:dyDescent="0.25">
      <c r="A185" s="6">
        <f t="shared" ca="1" si="4"/>
        <v>2.0282872063321848E-6</v>
      </c>
      <c r="B185" s="6">
        <f t="shared" ca="1" si="5"/>
        <v>-26.928705487007537</v>
      </c>
    </row>
    <row r="186" spans="1:2" x14ac:dyDescent="0.25">
      <c r="A186" s="6">
        <f t="shared" ca="1" si="4"/>
        <v>6.8220749065184237E-6</v>
      </c>
      <c r="B186" s="6">
        <f t="shared" ca="1" si="5"/>
        <v>-21.66083516340376</v>
      </c>
    </row>
    <row r="187" spans="1:2" x14ac:dyDescent="0.25">
      <c r="A187" s="6">
        <f t="shared" ca="1" si="4"/>
        <v>4.5780484441438982E-6</v>
      </c>
      <c r="B187" s="6">
        <f t="shared" ca="1" si="5"/>
        <v>-23.393196160054998</v>
      </c>
    </row>
    <row r="188" spans="1:2" x14ac:dyDescent="0.25">
      <c r="A188" s="6">
        <f t="shared" ca="1" si="4"/>
        <v>4.1973369032634198E-6</v>
      </c>
      <c r="B188" s="6">
        <f t="shared" ca="1" si="5"/>
        <v>-23.77026170327224</v>
      </c>
    </row>
    <row r="189" spans="1:2" x14ac:dyDescent="0.25">
      <c r="A189" s="6">
        <f t="shared" ca="1" si="4"/>
        <v>2.1969204143308323E-6</v>
      </c>
      <c r="B189" s="6">
        <f t="shared" ca="1" si="5"/>
        <v>-26.581856755524083</v>
      </c>
    </row>
    <row r="190" spans="1:2" x14ac:dyDescent="0.25">
      <c r="A190" s="6">
        <f t="shared" ca="1" si="4"/>
        <v>7.1868954644384338E-6</v>
      </c>
      <c r="B190" s="6">
        <f t="shared" ca="1" si="5"/>
        <v>-21.43458672041502</v>
      </c>
    </row>
    <row r="191" spans="1:2" x14ac:dyDescent="0.25">
      <c r="A191" s="6">
        <f t="shared" ca="1" si="4"/>
        <v>6.7487410591331394E-6</v>
      </c>
      <c r="B191" s="6">
        <f t="shared" ca="1" si="5"/>
        <v>-21.707772348823184</v>
      </c>
    </row>
    <row r="192" spans="1:2" x14ac:dyDescent="0.25">
      <c r="A192" s="6">
        <f t="shared" ca="1" si="4"/>
        <v>1.2242887716639007E-6</v>
      </c>
      <c r="B192" s="6">
        <f t="shared" ca="1" si="5"/>
        <v>-29.121161335396323</v>
      </c>
    </row>
    <row r="193" spans="1:2" x14ac:dyDescent="0.25">
      <c r="A193" s="6">
        <f t="shared" ca="1" si="4"/>
        <v>2.2913171589763251E-6</v>
      </c>
      <c r="B193" s="6">
        <f t="shared" ca="1" si="5"/>
        <v>-26.399147925827513</v>
      </c>
    </row>
    <row r="194" spans="1:2" x14ac:dyDescent="0.25">
      <c r="A194" s="6">
        <f t="shared" ca="1" si="4"/>
        <v>7.3924131381109534E-6</v>
      </c>
      <c r="B194" s="6">
        <f t="shared" ca="1" si="5"/>
        <v>-21.312137697928122</v>
      </c>
    </row>
    <row r="195" spans="1:2" x14ac:dyDescent="0.25">
      <c r="A195" s="6">
        <f t="shared" ca="1" si="4"/>
        <v>3.3829309476827085E-6</v>
      </c>
      <c r="B195" s="6">
        <f t="shared" ca="1" si="5"/>
        <v>-24.707068669316257</v>
      </c>
    </row>
    <row r="196" spans="1:2" x14ac:dyDescent="0.25">
      <c r="A196" s="6">
        <f t="shared" ca="1" si="4"/>
        <v>1.8102040318376978E-6</v>
      </c>
      <c r="B196" s="6">
        <f t="shared" ca="1" si="5"/>
        <v>-27.422724721433269</v>
      </c>
    </row>
    <row r="197" spans="1:2" x14ac:dyDescent="0.25">
      <c r="A197" s="6">
        <f t="shared" ca="1" si="4"/>
        <v>4.9133895503626256E-6</v>
      </c>
      <c r="B197" s="6">
        <f t="shared" ca="1" si="5"/>
        <v>-23.086188021452173</v>
      </c>
    </row>
    <row r="198" spans="1:2" x14ac:dyDescent="0.25">
      <c r="A198" s="6">
        <f t="shared" ref="A198:A256" ca="1" si="6">RAND()*(B-A)+A</f>
        <v>5.0144364028949864E-6</v>
      </c>
      <c r="B198" s="6">
        <f t="shared" ref="B198:B261" ca="1" si="7">10*LOG(A198/0.001)</f>
        <v>-22.997778723878298</v>
      </c>
    </row>
    <row r="199" spans="1:2" x14ac:dyDescent="0.25">
      <c r="A199" s="6">
        <f t="shared" ca="1" si="6"/>
        <v>6.7625919750572997E-6</v>
      </c>
      <c r="B199" s="6">
        <f t="shared" ca="1" si="7"/>
        <v>-21.698868151958028</v>
      </c>
    </row>
    <row r="200" spans="1:2" x14ac:dyDescent="0.25">
      <c r="A200" s="6">
        <f t="shared" ca="1" si="6"/>
        <v>5.7382578943713195E-6</v>
      </c>
      <c r="B200" s="6">
        <f t="shared" ca="1" si="7"/>
        <v>-22.412199371660947</v>
      </c>
    </row>
    <row r="201" spans="1:2" x14ac:dyDescent="0.25">
      <c r="A201" s="6">
        <f t="shared" ca="1" si="6"/>
        <v>3.846080893169091E-6</v>
      </c>
      <c r="B201" s="6">
        <f t="shared" ca="1" si="7"/>
        <v>-24.149815856494101</v>
      </c>
    </row>
    <row r="202" spans="1:2" x14ac:dyDescent="0.25">
      <c r="A202" s="6">
        <f t="shared" ca="1" si="6"/>
        <v>6.1015404908292733E-6</v>
      </c>
      <c r="B202" s="6">
        <f t="shared" ca="1" si="7"/>
        <v>-22.145605023330081</v>
      </c>
    </row>
    <row r="203" spans="1:2" x14ac:dyDescent="0.25">
      <c r="A203" s="6">
        <f t="shared" ca="1" si="6"/>
        <v>9.1802389735962286E-6</v>
      </c>
      <c r="B203" s="6">
        <f t="shared" ca="1" si="7"/>
        <v>-20.371460133997029</v>
      </c>
    </row>
    <row r="204" spans="1:2" x14ac:dyDescent="0.25">
      <c r="A204" s="6">
        <f t="shared" ca="1" si="6"/>
        <v>2.3061871389858343E-6</v>
      </c>
      <c r="B204" s="6">
        <f t="shared" ca="1" si="7"/>
        <v>-26.371054541396365</v>
      </c>
    </row>
    <row r="205" spans="1:2" x14ac:dyDescent="0.25">
      <c r="A205" s="6">
        <f t="shared" ca="1" si="6"/>
        <v>2.0479689253057424E-6</v>
      </c>
      <c r="B205" s="6">
        <f t="shared" ca="1" si="7"/>
        <v>-26.886766373791314</v>
      </c>
    </row>
    <row r="206" spans="1:2" x14ac:dyDescent="0.25">
      <c r="A206" s="6">
        <f t="shared" ca="1" si="6"/>
        <v>6.2370663156884377E-6</v>
      </c>
      <c r="B206" s="6">
        <f t="shared" ca="1" si="7"/>
        <v>-22.050196382826122</v>
      </c>
    </row>
    <row r="207" spans="1:2" x14ac:dyDescent="0.25">
      <c r="A207" s="6">
        <f t="shared" ca="1" si="6"/>
        <v>5.9803930784842259E-6</v>
      </c>
      <c r="B207" s="6">
        <f t="shared" ca="1" si="7"/>
        <v>-22.232702698232497</v>
      </c>
    </row>
    <row r="208" spans="1:2" x14ac:dyDescent="0.25">
      <c r="A208" s="6">
        <f t="shared" ca="1" si="6"/>
        <v>5.3858010311930704E-6</v>
      </c>
      <c r="B208" s="6">
        <f t="shared" ca="1" si="7"/>
        <v>-22.687496948626912</v>
      </c>
    </row>
    <row r="209" spans="1:2" x14ac:dyDescent="0.25">
      <c r="A209" s="6">
        <f t="shared" ca="1" si="6"/>
        <v>6.8529704748536607E-6</v>
      </c>
      <c r="B209" s="6">
        <f t="shared" ca="1" si="7"/>
        <v>-21.641211392807747</v>
      </c>
    </row>
    <row r="210" spans="1:2" x14ac:dyDescent="0.25">
      <c r="A210" s="6">
        <f t="shared" ca="1" si="6"/>
        <v>5.9370295235943365E-6</v>
      </c>
      <c r="B210" s="6">
        <f t="shared" ca="1" si="7"/>
        <v>-22.264307914138058</v>
      </c>
    </row>
    <row r="211" spans="1:2" x14ac:dyDescent="0.25">
      <c r="A211" s="6">
        <f t="shared" ca="1" si="6"/>
        <v>4.2881744396624204E-6</v>
      </c>
      <c r="B211" s="6">
        <f t="shared" ca="1" si="7"/>
        <v>-23.677275561879775</v>
      </c>
    </row>
    <row r="212" spans="1:2" x14ac:dyDescent="0.25">
      <c r="A212" s="6">
        <f t="shared" ca="1" si="6"/>
        <v>7.0580139174188065E-6</v>
      </c>
      <c r="B212" s="6">
        <f t="shared" ca="1" si="7"/>
        <v>-21.513174896070737</v>
      </c>
    </row>
    <row r="213" spans="1:2" x14ac:dyDescent="0.25">
      <c r="A213" s="6">
        <f t="shared" ca="1" si="6"/>
        <v>7.5560455371040348E-6</v>
      </c>
      <c r="B213" s="6">
        <f t="shared" ca="1" si="7"/>
        <v>-21.217054334323887</v>
      </c>
    </row>
    <row r="214" spans="1:2" x14ac:dyDescent="0.25">
      <c r="A214" s="6">
        <f t="shared" ca="1" si="6"/>
        <v>7.9482770589732766E-6</v>
      </c>
      <c r="B214" s="6">
        <f t="shared" ca="1" si="7"/>
        <v>-20.997270027743387</v>
      </c>
    </row>
    <row r="215" spans="1:2" x14ac:dyDescent="0.25">
      <c r="A215" s="6">
        <f t="shared" ca="1" si="6"/>
        <v>5.7039551946772916E-6</v>
      </c>
      <c r="B215" s="6">
        <f t="shared" ca="1" si="7"/>
        <v>-22.438238945834065</v>
      </c>
    </row>
    <row r="216" spans="1:2" x14ac:dyDescent="0.25">
      <c r="A216" s="6">
        <f t="shared" ca="1" si="6"/>
        <v>1.4921850228945282E-6</v>
      </c>
      <c r="B216" s="6">
        <f t="shared" ca="1" si="7"/>
        <v>-28.261773233511814</v>
      </c>
    </row>
    <row r="217" spans="1:2" x14ac:dyDescent="0.25">
      <c r="A217" s="6">
        <f t="shared" ca="1" si="6"/>
        <v>3.5963207109084544E-6</v>
      </c>
      <c r="B217" s="6">
        <f t="shared" ca="1" si="7"/>
        <v>-24.441415859134501</v>
      </c>
    </row>
    <row r="218" spans="1:2" x14ac:dyDescent="0.25">
      <c r="A218" s="6">
        <f t="shared" ca="1" si="6"/>
        <v>1.5158628920678084E-6</v>
      </c>
      <c r="B218" s="6">
        <f t="shared" ca="1" si="7"/>
        <v>-28.193400783287611</v>
      </c>
    </row>
    <row r="219" spans="1:2" x14ac:dyDescent="0.25">
      <c r="A219" s="6">
        <f t="shared" ca="1" si="6"/>
        <v>3.1107897545940994E-6</v>
      </c>
      <c r="B219" s="6">
        <f t="shared" ca="1" si="7"/>
        <v>-25.071293400662039</v>
      </c>
    </row>
    <row r="220" spans="1:2" x14ac:dyDescent="0.25">
      <c r="A220" s="6">
        <f t="shared" ca="1" si="6"/>
        <v>2.1129242440579226E-6</v>
      </c>
      <c r="B220" s="6">
        <f t="shared" ca="1" si="7"/>
        <v>-26.751160736894789</v>
      </c>
    </row>
    <row r="221" spans="1:2" x14ac:dyDescent="0.25">
      <c r="A221" s="6">
        <f t="shared" ca="1" si="6"/>
        <v>8.32148029412254E-6</v>
      </c>
      <c r="B221" s="6">
        <f t="shared" ca="1" si="7"/>
        <v>-20.797994109226316</v>
      </c>
    </row>
    <row r="222" spans="1:2" x14ac:dyDescent="0.25">
      <c r="A222" s="6">
        <f t="shared" ca="1" si="6"/>
        <v>3.0251014549438273E-6</v>
      </c>
      <c r="B222" s="6">
        <f t="shared" ca="1" si="7"/>
        <v>-25.192600555293968</v>
      </c>
    </row>
    <row r="223" spans="1:2" x14ac:dyDescent="0.25">
      <c r="A223" s="6">
        <f t="shared" ca="1" si="6"/>
        <v>2.1163119204840399E-6</v>
      </c>
      <c r="B223" s="6">
        <f t="shared" ca="1" si="7"/>
        <v>-26.744203218157324</v>
      </c>
    </row>
    <row r="224" spans="1:2" x14ac:dyDescent="0.25">
      <c r="A224" s="6">
        <f t="shared" ca="1" si="6"/>
        <v>9.2482411987317776E-6</v>
      </c>
      <c r="B224" s="6">
        <f t="shared" ca="1" si="7"/>
        <v>-20.339408521596773</v>
      </c>
    </row>
    <row r="225" spans="1:2" x14ac:dyDescent="0.25">
      <c r="A225" s="6">
        <f t="shared" ca="1" si="6"/>
        <v>1.4806394272636778E-6</v>
      </c>
      <c r="B225" s="6">
        <f t="shared" ca="1" si="7"/>
        <v>-28.295506901726007</v>
      </c>
    </row>
    <row r="226" spans="1:2" x14ac:dyDescent="0.25">
      <c r="A226" s="6">
        <f t="shared" ca="1" si="6"/>
        <v>8.9432414686241238E-6</v>
      </c>
      <c r="B226" s="6">
        <f t="shared" ca="1" si="7"/>
        <v>-20.485050430847561</v>
      </c>
    </row>
    <row r="227" spans="1:2" x14ac:dyDescent="0.25">
      <c r="A227" s="6">
        <f t="shared" ca="1" si="6"/>
        <v>5.8985585088699863E-6</v>
      </c>
      <c r="B227" s="6">
        <f t="shared" ca="1" si="7"/>
        <v>-22.292541083802501</v>
      </c>
    </row>
    <row r="228" spans="1:2" x14ac:dyDescent="0.25">
      <c r="A228" s="6">
        <f t="shared" ca="1" si="6"/>
        <v>2.2557686470829969E-6</v>
      </c>
      <c r="B228" s="6">
        <f t="shared" ca="1" si="7"/>
        <v>-26.467054438941261</v>
      </c>
    </row>
    <row r="229" spans="1:2" x14ac:dyDescent="0.25">
      <c r="A229" s="6">
        <f t="shared" ca="1" si="6"/>
        <v>8.278537058381319E-6</v>
      </c>
      <c r="B229" s="6">
        <f t="shared" ca="1" si="7"/>
        <v>-20.820464027811521</v>
      </c>
    </row>
    <row r="230" spans="1:2" x14ac:dyDescent="0.25">
      <c r="A230" s="6">
        <f t="shared" ca="1" si="6"/>
        <v>5.6724236528921433E-6</v>
      </c>
      <c r="B230" s="6">
        <f t="shared" ca="1" si="7"/>
        <v>-22.462313407230244</v>
      </c>
    </row>
    <row r="231" spans="1:2" x14ac:dyDescent="0.25">
      <c r="A231" s="6">
        <f t="shared" ca="1" si="6"/>
        <v>5.4699977898941166E-6</v>
      </c>
      <c r="B231" s="6">
        <f t="shared" ca="1" si="7"/>
        <v>-22.620128491395096</v>
      </c>
    </row>
    <row r="232" spans="1:2" x14ac:dyDescent="0.25">
      <c r="A232" s="6">
        <f t="shared" ca="1" si="6"/>
        <v>9.4644046366601663E-6</v>
      </c>
      <c r="B232" s="6">
        <f t="shared" ca="1" si="7"/>
        <v>-20.239067003632133</v>
      </c>
    </row>
    <row r="233" spans="1:2" x14ac:dyDescent="0.25">
      <c r="A233" s="6">
        <f t="shared" ca="1" si="6"/>
        <v>2.288806886088602E-6</v>
      </c>
      <c r="B233" s="6">
        <f t="shared" ca="1" si="7"/>
        <v>-26.403908485854473</v>
      </c>
    </row>
    <row r="234" spans="1:2" x14ac:dyDescent="0.25">
      <c r="A234" s="6">
        <f t="shared" ca="1" si="6"/>
        <v>8.576526504922321E-6</v>
      </c>
      <c r="B234" s="6">
        <f t="shared" ca="1" si="7"/>
        <v>-20.666885659017996</v>
      </c>
    </row>
    <row r="235" spans="1:2" x14ac:dyDescent="0.25">
      <c r="A235" s="6">
        <f t="shared" ca="1" si="6"/>
        <v>1.6538285520438009E-6</v>
      </c>
      <c r="B235" s="6">
        <f t="shared" ca="1" si="7"/>
        <v>-27.815095145903975</v>
      </c>
    </row>
    <row r="236" spans="1:2" x14ac:dyDescent="0.25">
      <c r="A236" s="6">
        <f t="shared" ca="1" si="6"/>
        <v>2.316007650769559E-6</v>
      </c>
      <c r="B236" s="6">
        <f t="shared" ca="1" si="7"/>
        <v>-26.352600102807354</v>
      </c>
    </row>
    <row r="237" spans="1:2" x14ac:dyDescent="0.25">
      <c r="A237" s="6">
        <f t="shared" ca="1" si="6"/>
        <v>6.5338068191795992E-6</v>
      </c>
      <c r="B237" s="6">
        <f t="shared" ca="1" si="7"/>
        <v>-21.848337101734934</v>
      </c>
    </row>
    <row r="238" spans="1:2" x14ac:dyDescent="0.25">
      <c r="A238" s="6">
        <f t="shared" ca="1" si="6"/>
        <v>2.102337849083014E-6</v>
      </c>
      <c r="B238" s="6">
        <f t="shared" ca="1" si="7"/>
        <v>-26.772974908756709</v>
      </c>
    </row>
    <row r="239" spans="1:2" x14ac:dyDescent="0.25">
      <c r="A239" s="6">
        <f t="shared" ca="1" si="6"/>
        <v>7.9716266420145206E-6</v>
      </c>
      <c r="B239" s="6">
        <f t="shared" ca="1" si="7"/>
        <v>-20.98453050050572</v>
      </c>
    </row>
    <row r="240" spans="1:2" x14ac:dyDescent="0.25">
      <c r="A240" s="6">
        <f t="shared" ca="1" si="6"/>
        <v>8.6107100131062622E-6</v>
      </c>
      <c r="B240" s="6">
        <f t="shared" ca="1" si="7"/>
        <v>-20.649610364603085</v>
      </c>
    </row>
    <row r="241" spans="1:2" x14ac:dyDescent="0.25">
      <c r="A241" s="6">
        <f t="shared" ca="1" si="6"/>
        <v>3.3754584491867306E-6</v>
      </c>
      <c r="B241" s="6">
        <f t="shared" ca="1" si="7"/>
        <v>-24.716672336683434</v>
      </c>
    </row>
    <row r="242" spans="1:2" x14ac:dyDescent="0.25">
      <c r="A242" s="6">
        <f t="shared" ca="1" si="6"/>
        <v>9.2047328211776199E-6</v>
      </c>
      <c r="B242" s="6">
        <f t="shared" ca="1" si="7"/>
        <v>-20.359888129146917</v>
      </c>
    </row>
    <row r="243" spans="1:2" x14ac:dyDescent="0.25">
      <c r="A243" s="6">
        <f t="shared" ca="1" si="6"/>
        <v>6.8393272109969105E-6</v>
      </c>
      <c r="B243" s="6">
        <f t="shared" ca="1" si="7"/>
        <v>-21.64986618005387</v>
      </c>
    </row>
    <row r="244" spans="1:2" x14ac:dyDescent="0.25">
      <c r="A244" s="6">
        <f t="shared" ca="1" si="6"/>
        <v>9.2641336766257987E-6</v>
      </c>
      <c r="B244" s="6">
        <f t="shared" ca="1" si="7"/>
        <v>-20.331951869281578</v>
      </c>
    </row>
    <row r="245" spans="1:2" x14ac:dyDescent="0.25">
      <c r="A245" s="6">
        <f t="shared" ca="1" si="6"/>
        <v>9.2800289820316752E-6</v>
      </c>
      <c r="B245" s="6">
        <f t="shared" ca="1" si="7"/>
        <v>-20.324506674538991</v>
      </c>
    </row>
    <row r="246" spans="1:2" x14ac:dyDescent="0.25">
      <c r="A246" s="6">
        <f t="shared" ca="1" si="6"/>
        <v>6.1524070107433658E-6</v>
      </c>
      <c r="B246" s="6">
        <f t="shared" ca="1" si="7"/>
        <v>-22.109549416277968</v>
      </c>
    </row>
    <row r="247" spans="1:2" x14ac:dyDescent="0.25">
      <c r="A247" s="6">
        <f t="shared" ca="1" si="6"/>
        <v>3.8433466427873532E-6</v>
      </c>
      <c r="B247" s="6">
        <f t="shared" ca="1" si="7"/>
        <v>-24.152904434668294</v>
      </c>
    </row>
    <row r="248" spans="1:2" x14ac:dyDescent="0.25">
      <c r="A248" s="6">
        <f t="shared" ca="1" si="6"/>
        <v>5.7157978877583258E-6</v>
      </c>
      <c r="B248" s="6">
        <f t="shared" ca="1" si="7"/>
        <v>-22.429231363861692</v>
      </c>
    </row>
    <row r="249" spans="1:2" x14ac:dyDescent="0.25">
      <c r="A249" s="6">
        <f t="shared" ca="1" si="6"/>
        <v>6.198318267987847E-6</v>
      </c>
      <c r="B249" s="6">
        <f t="shared" ca="1" si="7"/>
        <v>-22.077261275994541</v>
      </c>
    </row>
    <row r="250" spans="1:2" x14ac:dyDescent="0.25">
      <c r="A250" s="6">
        <f t="shared" ca="1" si="6"/>
        <v>7.4171539391353285E-6</v>
      </c>
      <c r="B250" s="6">
        <f t="shared" ca="1" si="7"/>
        <v>-21.297627073407405</v>
      </c>
    </row>
    <row r="251" spans="1:2" x14ac:dyDescent="0.25">
      <c r="A251" s="6">
        <f t="shared" ca="1" si="6"/>
        <v>9.0109554851405676E-6</v>
      </c>
      <c r="B251" s="6">
        <f t="shared" ca="1" si="7"/>
        <v>-20.452291557553576</v>
      </c>
    </row>
    <row r="252" spans="1:2" x14ac:dyDescent="0.25">
      <c r="A252" s="6">
        <f t="shared" ca="1" si="6"/>
        <v>8.2388921527114665E-6</v>
      </c>
      <c r="B252" s="6">
        <f t="shared" ca="1" si="7"/>
        <v>-20.84131182029898</v>
      </c>
    </row>
    <row r="253" spans="1:2" x14ac:dyDescent="0.25">
      <c r="A253" s="6">
        <f t="shared" ca="1" si="6"/>
        <v>7.6310815507618154E-6</v>
      </c>
      <c r="B253" s="6">
        <f t="shared" ca="1" si="7"/>
        <v>-21.174139052639728</v>
      </c>
    </row>
    <row r="254" spans="1:2" x14ac:dyDescent="0.25">
      <c r="A254" s="6">
        <f t="shared" ca="1" si="6"/>
        <v>2.2640757183562242E-6</v>
      </c>
      <c r="B254" s="6">
        <f t="shared" ca="1" si="7"/>
        <v>-26.451090529632701</v>
      </c>
    </row>
    <row r="255" spans="1:2" x14ac:dyDescent="0.25">
      <c r="A255" s="6">
        <f t="shared" ca="1" si="6"/>
        <v>2.4942438572740092E-6</v>
      </c>
      <c r="B255" s="6">
        <f t="shared" ca="1" si="7"/>
        <v>-26.030610886717497</v>
      </c>
    </row>
    <row r="256" spans="1:2" x14ac:dyDescent="0.25">
      <c r="A256" s="6">
        <f t="shared" ca="1" si="6"/>
        <v>1.2308764185505208E-6</v>
      </c>
      <c r="B256" s="6">
        <f t="shared" ca="1" si="7"/>
        <v>-29.097855485599812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noise (elevated DANL) (cold)</vt:lpstr>
      <vt:lpstr>delta Y</vt:lpstr>
      <vt:lpstr>delta Y (elevated temp)</vt:lpstr>
      <vt:lpstr>ave log power</vt:lpstr>
      <vt:lpstr>'delta Y (elevated temp)'!Boltz</vt:lpstr>
      <vt:lpstr>'delta Y (elevated temp)'!BW</vt:lpstr>
      <vt:lpstr>'delta Y (elevated temp)'!GL</vt:lpstr>
      <vt:lpstr>'delta Y (elevated temp)'!Kelv</vt:lpstr>
      <vt:lpstr>'delta Y (elevated temp)'!T_12</vt:lpstr>
      <vt:lpstr>'delta Y (elevated temp)'!T_instrument</vt:lpstr>
      <vt:lpstr>'noise (elevated DANL) (cold)'!thermal_noise</vt:lpstr>
      <vt:lpstr>'delta Y (elevated temp)'!Ton_source</vt:lpstr>
      <vt:lpstr>Ton_source</vt:lpstr>
      <vt:lpstr>'delta Y (elevated temp)'!Ts_on_corrected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Flores</dc:creator>
  <cp:lastModifiedBy>Chris Armstrong</cp:lastModifiedBy>
  <dcterms:created xsi:type="dcterms:W3CDTF">2022-08-15T16:25:46Z</dcterms:created>
  <dcterms:modified xsi:type="dcterms:W3CDTF">2023-05-18T18:28:57Z</dcterms:modified>
</cp:coreProperties>
</file>